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150" windowWidth="12120" windowHeight="9090" activeTab="0"/>
  </bookViews>
  <sheets>
    <sheet name="A" sheetId="1" r:id="rId1"/>
  </sheets>
  <definedNames>
    <definedName name="\A">'A'!#REF!</definedName>
    <definedName name="_xlnm.Print_Area" localSheetId="0">'A'!$A$1:$U$222</definedName>
    <definedName name="_xlnm.Print_Titles" localSheetId="0">'A'!$1:$6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<sst xmlns="http://schemas.openxmlformats.org/spreadsheetml/2006/main" count="209" uniqueCount="144">
  <si>
    <t>Opinions Written by Justices of the Courts of Appeals</t>
  </si>
  <si>
    <t>Total</t>
  </si>
  <si>
    <t>First, Houston</t>
  </si>
  <si>
    <t xml:space="preserve"> </t>
  </si>
  <si>
    <t>Published</t>
  </si>
  <si>
    <t>Not Published</t>
  </si>
  <si>
    <t>Second, Fort Worth</t>
  </si>
  <si>
    <t>Fourth, San Antonio</t>
  </si>
  <si>
    <t>Fifth, Dallas</t>
  </si>
  <si>
    <t>Sixth, Texarkana</t>
  </si>
  <si>
    <t>Seventh, Amarillo</t>
  </si>
  <si>
    <t>Eighth, El Paso</t>
  </si>
  <si>
    <t>Ninth, Beaumont</t>
  </si>
  <si>
    <t>Tenth, Waco</t>
  </si>
  <si>
    <t>Eleventh, Eastland</t>
  </si>
  <si>
    <t>Thirteenth, Corpus Christi</t>
  </si>
  <si>
    <t>Fourteenth, Houston</t>
  </si>
  <si>
    <t>Original Opinions On Merits</t>
  </si>
  <si>
    <t>Concurring Opinions</t>
  </si>
  <si>
    <t>Dissenting Opinions</t>
  </si>
  <si>
    <t>Opinions Refusing Rehearing</t>
  </si>
  <si>
    <t>Opinions Dismissing Appeal</t>
  </si>
  <si>
    <t>Other Opinions</t>
  </si>
  <si>
    <t>Per Curiam Opinions</t>
  </si>
  <si>
    <t xml:space="preserve">TOTAL </t>
  </si>
  <si>
    <t xml:space="preserve">Third, Austin </t>
  </si>
  <si>
    <t>Opinions Granting Rehearing</t>
  </si>
  <si>
    <t>Regular Justices</t>
  </si>
  <si>
    <t>Visiting Justices</t>
  </si>
  <si>
    <t xml:space="preserve">Justice Tim Taft </t>
  </si>
  <si>
    <t xml:space="preserve">Justice Sam Nuchia </t>
  </si>
  <si>
    <t xml:space="preserve">Justice Terry Jennings </t>
  </si>
  <si>
    <t xml:space="preserve">Chief Justice John Cayce </t>
  </si>
  <si>
    <t xml:space="preserve">Justice Terrie Livingston </t>
  </si>
  <si>
    <t xml:space="preserve">Justice Lee Ann Dauphinot </t>
  </si>
  <si>
    <t xml:space="preserve">Justice Dixon W. Holman </t>
  </si>
  <si>
    <t xml:space="preserve">Justice Anne Gardner </t>
  </si>
  <si>
    <t xml:space="preserve">Justice Sue Walker </t>
  </si>
  <si>
    <t xml:space="preserve">Justice Bea Ann Smith </t>
  </si>
  <si>
    <t xml:space="preserve">Justice Jan Patterson </t>
  </si>
  <si>
    <t xml:space="preserve">Justice Sarah B. Duncan </t>
  </si>
  <si>
    <t xml:space="preserve">Justice Karen Angelini </t>
  </si>
  <si>
    <t>OVERALL TOTALS</t>
  </si>
  <si>
    <t xml:space="preserve">Chief Justice Sherry Radack </t>
  </si>
  <si>
    <t xml:space="preserve">Justice Evelyn V. Keyes </t>
  </si>
  <si>
    <t xml:space="preserve">Justice Elsa R. Alcala </t>
  </si>
  <si>
    <t xml:space="preserve">Justice Sandee Bryan Marion </t>
  </si>
  <si>
    <t>Chief Justice Linda Thomas</t>
  </si>
  <si>
    <t>Justice Joseph B. Morris</t>
  </si>
  <si>
    <t>Justice Mark Whittington</t>
  </si>
  <si>
    <t>Justice Carolyn Wright</t>
  </si>
  <si>
    <t>Justice James A. Moseley</t>
  </si>
  <si>
    <t>Justice David L. Bridges</t>
  </si>
  <si>
    <t>Justice Michael J. O'Neill</t>
  </si>
  <si>
    <t>Justice Kerry P. FitzGerald</t>
  </si>
  <si>
    <t>Justice Martin E. Richter</t>
  </si>
  <si>
    <t>Justice Molly Francis</t>
  </si>
  <si>
    <t>Justice Frances Maloney</t>
  </si>
  <si>
    <t xml:space="preserve">Chief Justice Josh R. Morriss III </t>
  </si>
  <si>
    <t xml:space="preserve">Justice Donald R. Ross </t>
  </si>
  <si>
    <t xml:space="preserve">Justice William J. Cornelius </t>
  </si>
  <si>
    <t xml:space="preserve">Justice Don H. Reavis </t>
  </si>
  <si>
    <t xml:space="preserve">Justice James T. Campbell </t>
  </si>
  <si>
    <t xml:space="preserve">Justice John T. Boyd </t>
  </si>
  <si>
    <t xml:space="preserve">Chief Justice Richard Barajas </t>
  </si>
  <si>
    <t xml:space="preserve">Justice Ann Crawford McClure </t>
  </si>
  <si>
    <t xml:space="preserve">Justice David W. Chew </t>
  </si>
  <si>
    <t xml:space="preserve">Justice Stephen Preslar </t>
  </si>
  <si>
    <t xml:space="preserve">Justice Don Wittig </t>
  </si>
  <si>
    <t xml:space="preserve">Justice David B. Gaultney </t>
  </si>
  <si>
    <t xml:space="preserve">Chief Justice William G. (Bud) Arnot III </t>
  </si>
  <si>
    <t xml:space="preserve">Justice Jim R. Wright </t>
  </si>
  <si>
    <t xml:space="preserve">Justice Terry McCall </t>
  </si>
  <si>
    <t xml:space="preserve">Justice Bob Dickenson </t>
  </si>
  <si>
    <t xml:space="preserve">Chief Justice Jim Worthen </t>
  </si>
  <si>
    <t xml:space="preserve">Justice Sam G. Griffith </t>
  </si>
  <si>
    <t xml:space="preserve">Justice Diane DeVasto </t>
  </si>
  <si>
    <t xml:space="preserve">Justice James W. Bass, Jr. </t>
  </si>
  <si>
    <t xml:space="preserve">Chief Justice Rogelio Valdez </t>
  </si>
  <si>
    <t xml:space="preserve">Justice Federico G. Hinojosa </t>
  </si>
  <si>
    <t xml:space="preserve">Justice Linda Reyna Yanez </t>
  </si>
  <si>
    <t xml:space="preserve">Justice Nelda V. Rodriguez </t>
  </si>
  <si>
    <t xml:space="preserve">Justice Errlinda Castillo </t>
  </si>
  <si>
    <t xml:space="preserve">Justice Leslie Brock Yates </t>
  </si>
  <si>
    <t xml:space="preserve">Justice John S. Anderson </t>
  </si>
  <si>
    <t xml:space="preserve">Justice J. Harvey Hudson </t>
  </si>
  <si>
    <t xml:space="preserve">Justice Wanda McKee Fowler </t>
  </si>
  <si>
    <t xml:space="preserve">Justice Richard H. Edelman </t>
  </si>
  <si>
    <t xml:space="preserve">Justice Kem Thompson Frost </t>
  </si>
  <si>
    <t xml:space="preserve">Justice Eva M. Guzman </t>
  </si>
  <si>
    <t xml:space="preserve">Justice George C. Hanks, Jr. </t>
  </si>
  <si>
    <t xml:space="preserve">Justice David E. Puryear </t>
  </si>
  <si>
    <t xml:space="preserve">Justice John F. Onion, Jr. </t>
  </si>
  <si>
    <t xml:space="preserve">Justice Phylis J. Speedlin </t>
  </si>
  <si>
    <t xml:space="preserve">Justice William R. Vance </t>
  </si>
  <si>
    <t xml:space="preserve">Justice Charles F. Baird </t>
  </si>
  <si>
    <t xml:space="preserve">Justice Charles W. Seymore </t>
  </si>
  <si>
    <t xml:space="preserve">Justice Paul C. Murphy </t>
  </si>
  <si>
    <t>Justice Laura Carter Higley</t>
  </si>
  <si>
    <t>Chief Justice Alma L. Lopez</t>
  </si>
  <si>
    <t>Twelfth, Tyler</t>
  </si>
  <si>
    <t>Justice Dori Contreras Garza</t>
  </si>
  <si>
    <t>Chief Justice Steve McKeithen</t>
  </si>
  <si>
    <t>Justice Jack Carter</t>
  </si>
  <si>
    <t>Justice Douglas S. Lang</t>
  </si>
  <si>
    <t>Chief Justice Ken Law</t>
  </si>
  <si>
    <t>Justice Elizabeth Lang Miers</t>
  </si>
  <si>
    <t>Justice Amos L. Mazzant</t>
  </si>
  <si>
    <t>Justice John Hill</t>
  </si>
  <si>
    <t>Justice Bob Pemberton</t>
  </si>
  <si>
    <t xml:space="preserve">Chief Justice Thomas W. Gray </t>
  </si>
  <si>
    <t>Justice Felipe Reyna</t>
  </si>
  <si>
    <t xml:space="preserve">Justice Catherine M. Stone </t>
  </si>
  <si>
    <t>Justice John G. Hill</t>
  </si>
  <si>
    <t>Justice Ben Z. Grant</t>
  </si>
  <si>
    <t>For the Year Ended August 31, 2005</t>
  </si>
  <si>
    <t>Justice Ruby K. Sondock</t>
  </si>
  <si>
    <t>Judge Clyde R. Ashworth</t>
  </si>
  <si>
    <t>Justice William H. Brigham</t>
  </si>
  <si>
    <t>Justice Bob McCoy</t>
  </si>
  <si>
    <t>Justice Eric Gordon Andell</t>
  </si>
  <si>
    <t>Justice Jane Bland</t>
  </si>
  <si>
    <t>Chief Justice Brian Quinn</t>
  </si>
  <si>
    <t xml:space="preserve">Justice Sam Day </t>
  </si>
  <si>
    <t>Chief Justice Adele Hedges</t>
  </si>
  <si>
    <t>Judge Brady Elliott</t>
  </si>
  <si>
    <t>Judge Elizabeth Ray</t>
  </si>
  <si>
    <t>Judge Mary Lou Keel</t>
  </si>
  <si>
    <t>Justice Margaret Garner Mirabal</t>
  </si>
  <si>
    <t>Justice Sue Lagarde</t>
  </si>
  <si>
    <r>
      <t xml:space="preserve">Justice Paul W. Green </t>
    </r>
    <r>
      <rPr>
        <vertAlign val="superscript"/>
        <sz val="11"/>
        <rFont val="Times New Roman"/>
        <family val="1"/>
      </rPr>
      <t>1</t>
    </r>
  </si>
  <si>
    <r>
      <t xml:space="preserve">Justice Rebecca Simmons </t>
    </r>
    <r>
      <rPr>
        <vertAlign val="superscript"/>
        <sz val="11"/>
        <rFont val="Times New Roman"/>
        <family val="1"/>
      </rPr>
      <t>2</t>
    </r>
  </si>
  <si>
    <r>
      <t xml:space="preserve">1 </t>
    </r>
    <r>
      <rPr>
        <sz val="11"/>
        <rFont val="Times New Roman"/>
        <family val="1"/>
      </rPr>
      <t>Paul Green was elected to the Texas Supreme Court effective January 1, 2005.</t>
    </r>
  </si>
  <si>
    <r>
      <t xml:space="preserve">2 </t>
    </r>
    <r>
      <rPr>
        <sz val="11"/>
        <rFont val="Times New Roman"/>
        <family val="1"/>
      </rPr>
      <t>Rebecca Simmons was appointed Justice effective April 14, 2005 to replace Paul Green.</t>
    </r>
  </si>
  <si>
    <r>
      <t xml:space="preserve">Justice Mackey K. Hancock </t>
    </r>
    <r>
      <rPr>
        <vertAlign val="superscript"/>
        <sz val="11"/>
        <rFont val="Times New Roman"/>
        <family val="1"/>
      </rPr>
      <t>3</t>
    </r>
  </si>
  <si>
    <r>
      <t xml:space="preserve">Justice Susan Larsen 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</t>
    </r>
  </si>
  <si>
    <r>
      <t xml:space="preserve">Justice Don Burgess </t>
    </r>
    <r>
      <rPr>
        <vertAlign val="superscript"/>
        <sz val="11"/>
        <rFont val="Times New Roman"/>
        <family val="1"/>
      </rPr>
      <t>5</t>
    </r>
  </si>
  <si>
    <r>
      <t xml:space="preserve">Justice Hollis Horton </t>
    </r>
    <r>
      <rPr>
        <vertAlign val="superscript"/>
        <sz val="11"/>
        <rFont val="Times New Roman"/>
        <family val="1"/>
      </rPr>
      <t>6</t>
    </r>
  </si>
  <si>
    <r>
      <t xml:space="preserve">Justice Charles Kreger </t>
    </r>
    <r>
      <rPr>
        <vertAlign val="superscript"/>
        <sz val="11"/>
        <rFont val="Times New Roman"/>
        <family val="1"/>
      </rPr>
      <t>7</t>
    </r>
  </si>
  <si>
    <r>
      <t>3</t>
    </r>
    <r>
      <rPr>
        <sz val="11"/>
        <rFont val="Times New Roman"/>
        <family val="1"/>
      </rPr>
      <t xml:space="preserve"> Mackey Hancock was appointed effective July 1, 2005 to replace Brian Quinn, who was appointed Chief Justice effective May 19, 2005.</t>
    </r>
  </si>
  <si>
    <r>
      <t xml:space="preserve">4 </t>
    </r>
    <r>
      <rPr>
        <sz val="11"/>
        <rFont val="Times New Roman"/>
        <family val="1"/>
      </rPr>
      <t>Susan Larsen's term ended December 31, 2004, and the position was transferred to the Ninth Court of Appeals effective January 1, 2005.</t>
    </r>
  </si>
  <si>
    <r>
      <t xml:space="preserve">5 </t>
    </r>
    <r>
      <rPr>
        <sz val="11"/>
        <rFont val="Times New Roman"/>
        <family val="1"/>
      </rPr>
      <t>Don Burgess' term ended December 31, 2004.</t>
    </r>
  </si>
  <si>
    <r>
      <t xml:space="preserve">6 </t>
    </r>
    <r>
      <rPr>
        <sz val="11"/>
        <rFont val="Times New Roman"/>
        <family val="1"/>
      </rPr>
      <t>Hollis Horton was appointed Justice effective January 1, 2005 to fill the position transferred from the Eighth Court of Appeals to the Ninth Court of Appeals.</t>
    </r>
  </si>
  <si>
    <r>
      <t xml:space="preserve">7 </t>
    </r>
    <r>
      <rPr>
        <sz val="11"/>
        <rFont val="Times New Roman"/>
        <family val="1"/>
      </rPr>
      <t>Charles Kreger was elected Justice effective January 1, 2005 to replace Don Burgess, who did not seek reelection.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</si>
</sst>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1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b/>
      <sz val="5"/>
      <name val="Times New Roman"/>
      <family val="1"/>
    </font>
    <font>
      <sz val="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6">
    <xf numFmtId="3" fontId="13" fillId="0" borderId="0" xfId="0" applyNumberFormat="1" applyFont="1" applyAlignment="1">
      <alignment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 wrapText="1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9" fillId="0" borderId="1" xfId="0" applyNumberFormat="1" applyFont="1" applyBorder="1" applyAlignment="1">
      <alignment wrapText="1"/>
    </xf>
    <xf numFmtId="3" fontId="9" fillId="0" borderId="2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0" xfId="0" applyNumberFormat="1" applyFont="1" applyBorder="1" applyAlignment="1" applyProtection="1">
      <alignment horizontal="left" indent="1"/>
      <protection/>
    </xf>
    <xf numFmtId="0" fontId="10" fillId="0" borderId="0" xfId="0" applyFont="1" applyBorder="1" applyAlignment="1">
      <alignment/>
    </xf>
    <xf numFmtId="0" fontId="11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 applyProtection="1">
      <alignment horizontal="center"/>
      <protection/>
    </xf>
    <xf numFmtId="3" fontId="11" fillId="0" borderId="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Continuous"/>
    </xf>
    <xf numFmtId="3" fontId="5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3" fontId="10" fillId="0" borderId="2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0" fillId="0" borderId="8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0" fontId="10" fillId="0" borderId="8" xfId="0" applyNumberFormat="1" applyFont="1" applyBorder="1" applyAlignment="1" applyProtection="1">
      <alignment horizontal="center"/>
      <protection/>
    </xf>
    <xf numFmtId="3" fontId="10" fillId="0" borderId="8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8" fillId="0" borderId="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7" fillId="0" borderId="1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10" fillId="0" borderId="8" xfId="0" applyNumberFormat="1" applyFont="1" applyBorder="1" applyAlignment="1" applyProtection="1">
      <alignment horizontal="center"/>
      <protection/>
    </xf>
    <xf numFmtId="3" fontId="11" fillId="0" borderId="0" xfId="0" applyNumberFormat="1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1" fillId="0" borderId="4" xfId="0" applyNumberFormat="1" applyFont="1" applyBorder="1" applyAlignment="1">
      <alignment horizontal="centerContinuous"/>
    </xf>
    <xf numFmtId="3" fontId="11" fillId="0" borderId="0" xfId="0" applyNumberFormat="1" applyFont="1" applyAlignment="1" applyProtection="1">
      <alignment horizontal="left" inden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4" fillId="0" borderId="0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3" fontId="11" fillId="0" borderId="0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 applyProtection="1">
      <alignment horizontal="center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11" fillId="0" borderId="0" xfId="0" applyFont="1" applyAlignment="1">
      <alignment horizontal="left" indent="1"/>
    </xf>
    <xf numFmtId="0" fontId="11" fillId="0" borderId="0" xfId="0" applyFont="1" applyFill="1" applyAlignment="1">
      <alignment horizontal="left" indent="1"/>
    </xf>
    <xf numFmtId="3" fontId="11" fillId="0" borderId="0" xfId="0" applyNumberFormat="1" applyFont="1" applyAlignment="1">
      <alignment horizontal="left" indent="1"/>
    </xf>
    <xf numFmtId="3" fontId="23" fillId="0" borderId="0" xfId="0" applyNumberFormat="1" applyFont="1" applyAlignment="1">
      <alignment horizontal="left"/>
    </xf>
    <xf numFmtId="3" fontId="11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1" fillId="0" borderId="0" xfId="0" applyNumberFormat="1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3" fontId="21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3" fontId="21" fillId="0" borderId="0" xfId="0" applyNumberFormat="1" applyFont="1" applyBorder="1" applyAlignment="1" applyProtection="1">
      <alignment horizontal="left"/>
      <protection/>
    </xf>
    <xf numFmtId="3" fontId="17" fillId="0" borderId="0" xfId="0" applyNumberFormat="1" applyFont="1" applyBorder="1" applyAlignment="1">
      <alignment/>
    </xf>
    <xf numFmtId="3" fontId="17" fillId="0" borderId="7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7"/>
  <sheetViews>
    <sheetView tabSelected="1" showOutlineSymbols="0" view="pageBreakPreview" zoomScaleNormal="73" zoomScaleSheetLayoutView="100" workbookViewId="0" topLeftCell="A28">
      <selection activeCell="Z131" sqref="Z131"/>
    </sheetView>
  </sheetViews>
  <sheetFormatPr defaultColWidth="8.7109375" defaultRowHeight="30"/>
  <cols>
    <col min="1" max="1" width="1.7109375" style="12" customWidth="1"/>
    <col min="2" max="2" width="35.7109375" style="12" customWidth="1"/>
    <col min="3" max="3" width="1.8515625" style="12" customWidth="1"/>
    <col min="4" max="4" width="11.57421875" style="12" customWidth="1"/>
    <col min="5" max="5" width="1.7109375" style="12" customWidth="1"/>
    <col min="6" max="6" width="12.7109375" style="12" customWidth="1"/>
    <col min="7" max="7" width="1.7109375" style="12" customWidth="1"/>
    <col min="8" max="8" width="12.00390625" style="12" customWidth="1"/>
    <col min="9" max="9" width="1.7109375" style="12" customWidth="1"/>
    <col min="10" max="10" width="11.57421875" style="12" customWidth="1"/>
    <col min="11" max="11" width="1.7109375" style="12" customWidth="1"/>
    <col min="12" max="12" width="11.421875" style="12" customWidth="1"/>
    <col min="13" max="13" width="1.7109375" style="12" customWidth="1"/>
    <col min="14" max="14" width="12.8515625" style="12" customWidth="1"/>
    <col min="15" max="15" width="1.7109375" style="12" customWidth="1"/>
    <col min="16" max="16" width="10.421875" style="12" customWidth="1"/>
    <col min="17" max="17" width="1.7109375" style="12" customWidth="1"/>
    <col min="18" max="18" width="10.421875" style="12" customWidth="1"/>
    <col min="19" max="19" width="1.7109375" style="12" customWidth="1"/>
    <col min="20" max="20" width="12.7109375" style="12" customWidth="1"/>
    <col min="21" max="21" width="1.7109375" style="12" customWidth="1"/>
    <col min="22" max="253" width="8.7109375" style="12" customWidth="1"/>
    <col min="254" max="16384" width="8.7109375" style="15" customWidth="1"/>
  </cols>
  <sheetData>
    <row r="1" spans="1:21" ht="36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27" customHeight="1">
      <c r="A2" s="122" t="s">
        <v>115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ht="12.75" customHeight="1" thickBot="1"/>
    <row r="4" spans="1:22" ht="12.75" customHeight="1" thickTop="1">
      <c r="A4" s="2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9"/>
      <c r="V4" s="14"/>
    </row>
    <row r="5" spans="1:253" s="3" customFormat="1" ht="43.5">
      <c r="A5" s="6"/>
      <c r="B5" s="2"/>
      <c r="C5" s="2"/>
      <c r="D5" s="9" t="s">
        <v>17</v>
      </c>
      <c r="E5" s="10"/>
      <c r="F5" s="9" t="s">
        <v>18</v>
      </c>
      <c r="G5" s="11"/>
      <c r="H5" s="9" t="s">
        <v>19</v>
      </c>
      <c r="I5" s="10"/>
      <c r="J5" s="9" t="s">
        <v>20</v>
      </c>
      <c r="K5" s="11"/>
      <c r="L5" s="9" t="s">
        <v>26</v>
      </c>
      <c r="M5" s="10"/>
      <c r="N5" s="9" t="s">
        <v>21</v>
      </c>
      <c r="O5" s="11"/>
      <c r="P5" s="9" t="s">
        <v>22</v>
      </c>
      <c r="Q5" s="10"/>
      <c r="R5" s="9" t="s">
        <v>23</v>
      </c>
      <c r="S5" s="11"/>
      <c r="T5" s="9" t="s">
        <v>1</v>
      </c>
      <c r="U5" s="7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64" customFormat="1" ht="8.25">
      <c r="A6" s="59"/>
      <c r="B6" s="60"/>
      <c r="C6" s="60"/>
      <c r="D6" s="61"/>
      <c r="E6" s="60"/>
      <c r="F6" s="61"/>
      <c r="G6" s="60"/>
      <c r="H6" s="61"/>
      <c r="I6" s="60"/>
      <c r="J6" s="61"/>
      <c r="K6" s="60"/>
      <c r="L6" s="61"/>
      <c r="M6" s="60"/>
      <c r="N6" s="61"/>
      <c r="O6" s="60"/>
      <c r="P6" s="61"/>
      <c r="Q6" s="60"/>
      <c r="R6" s="61"/>
      <c r="S6" s="60"/>
      <c r="T6" s="61"/>
      <c r="U6" s="62"/>
      <c r="V6" s="60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pans="1:22" ht="15.75">
      <c r="A7" s="30"/>
      <c r="B7" s="8" t="s">
        <v>2</v>
      </c>
      <c r="C7" s="8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/>
      <c r="V7" s="14"/>
    </row>
    <row r="8" spans="1:22" ht="15">
      <c r="A8" s="30"/>
      <c r="B8" s="105" t="s">
        <v>27</v>
      </c>
      <c r="C8" s="4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14"/>
    </row>
    <row r="9" spans="1:253" s="37" customFormat="1" ht="15">
      <c r="A9" s="33"/>
      <c r="B9" s="16" t="s">
        <v>43</v>
      </c>
      <c r="C9" s="34"/>
      <c r="D9" s="124">
        <f>163+21</f>
        <v>184</v>
      </c>
      <c r="E9" s="26"/>
      <c r="F9" s="124">
        <v>1</v>
      </c>
      <c r="G9" s="26"/>
      <c r="H9" s="124">
        <v>1</v>
      </c>
      <c r="I9" s="26"/>
      <c r="J9" s="124">
        <v>0</v>
      </c>
      <c r="K9" s="26"/>
      <c r="L9" s="124">
        <v>0</v>
      </c>
      <c r="M9" s="26"/>
      <c r="N9" s="124">
        <v>1</v>
      </c>
      <c r="O9" s="26"/>
      <c r="P9" s="124">
        <v>1</v>
      </c>
      <c r="Q9" s="26"/>
      <c r="R9" s="124">
        <v>56</v>
      </c>
      <c r="S9" s="26"/>
      <c r="T9" s="99">
        <f>SUM(D9:R9)</f>
        <v>244</v>
      </c>
      <c r="U9" s="36"/>
      <c r="V9" s="3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s="37" customFormat="1" ht="15">
      <c r="A10" s="33"/>
      <c r="B10" s="16" t="s">
        <v>29</v>
      </c>
      <c r="C10" s="34"/>
      <c r="D10" s="124">
        <f>31+47</f>
        <v>78</v>
      </c>
      <c r="E10" s="26"/>
      <c r="F10" s="124">
        <v>1</v>
      </c>
      <c r="G10" s="26"/>
      <c r="H10" s="124">
        <v>0</v>
      </c>
      <c r="I10" s="26"/>
      <c r="J10" s="124">
        <v>0</v>
      </c>
      <c r="K10" s="26"/>
      <c r="L10" s="124">
        <v>0</v>
      </c>
      <c r="M10" s="26"/>
      <c r="N10" s="124">
        <v>0</v>
      </c>
      <c r="O10" s="26"/>
      <c r="P10" s="124">
        <v>0</v>
      </c>
      <c r="Q10" s="26"/>
      <c r="R10" s="124">
        <v>58</v>
      </c>
      <c r="S10" s="26"/>
      <c r="T10" s="99">
        <f aca="true" t="shared" si="0" ref="T10:T17">SUM(D10:R10)</f>
        <v>137</v>
      </c>
      <c r="U10" s="36"/>
      <c r="V10" s="31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s="37" customFormat="1" ht="15">
      <c r="A11" s="33"/>
      <c r="B11" s="16" t="s">
        <v>30</v>
      </c>
      <c r="C11" s="34"/>
      <c r="D11" s="124">
        <f>18+55</f>
        <v>73</v>
      </c>
      <c r="E11" s="26"/>
      <c r="F11" s="124">
        <v>1</v>
      </c>
      <c r="G11" s="26"/>
      <c r="H11" s="124">
        <v>0</v>
      </c>
      <c r="I11" s="26"/>
      <c r="J11" s="124">
        <v>0</v>
      </c>
      <c r="K11" s="26"/>
      <c r="L11" s="124">
        <v>0</v>
      </c>
      <c r="M11" s="26"/>
      <c r="N11" s="124">
        <v>2</v>
      </c>
      <c r="O11" s="26"/>
      <c r="P11" s="124">
        <v>0</v>
      </c>
      <c r="Q11" s="26"/>
      <c r="R11" s="124">
        <v>58</v>
      </c>
      <c r="S11" s="26"/>
      <c r="T11" s="99">
        <f t="shared" si="0"/>
        <v>134</v>
      </c>
      <c r="U11" s="36"/>
      <c r="V11" s="31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s="37" customFormat="1" ht="15">
      <c r="A12" s="33"/>
      <c r="B12" s="16" t="s">
        <v>31</v>
      </c>
      <c r="C12" s="34"/>
      <c r="D12" s="124">
        <f>21+56</f>
        <v>77</v>
      </c>
      <c r="E12" s="26"/>
      <c r="F12" s="124">
        <v>8</v>
      </c>
      <c r="G12" s="26"/>
      <c r="H12" s="124">
        <v>8</v>
      </c>
      <c r="I12" s="26"/>
      <c r="J12" s="124">
        <v>0</v>
      </c>
      <c r="K12" s="26"/>
      <c r="L12" s="124">
        <v>0</v>
      </c>
      <c r="M12" s="26"/>
      <c r="N12" s="124">
        <v>4</v>
      </c>
      <c r="O12" s="26"/>
      <c r="P12" s="124">
        <v>0</v>
      </c>
      <c r="Q12" s="26"/>
      <c r="R12" s="124">
        <v>48</v>
      </c>
      <c r="S12" s="26"/>
      <c r="T12" s="99">
        <f t="shared" si="0"/>
        <v>145</v>
      </c>
      <c r="U12" s="36"/>
      <c r="V12" s="31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s="37" customFormat="1" ht="15">
      <c r="A13" s="33"/>
      <c r="B13" s="17" t="s">
        <v>44</v>
      </c>
      <c r="C13" s="34"/>
      <c r="D13" s="124">
        <f>34+38</f>
        <v>72</v>
      </c>
      <c r="E13" s="26"/>
      <c r="F13" s="124">
        <v>2</v>
      </c>
      <c r="G13" s="26"/>
      <c r="H13" s="124">
        <v>10</v>
      </c>
      <c r="I13" s="26"/>
      <c r="J13" s="124">
        <v>0</v>
      </c>
      <c r="K13" s="26"/>
      <c r="L13" s="124">
        <v>0</v>
      </c>
      <c r="M13" s="26"/>
      <c r="N13" s="124">
        <v>0</v>
      </c>
      <c r="O13" s="26"/>
      <c r="P13" s="124">
        <v>1</v>
      </c>
      <c r="Q13" s="26"/>
      <c r="R13" s="124">
        <v>44</v>
      </c>
      <c r="S13" s="26"/>
      <c r="T13" s="99">
        <f t="shared" si="0"/>
        <v>129</v>
      </c>
      <c r="U13" s="36"/>
      <c r="V13" s="31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s="37" customFormat="1" ht="15">
      <c r="A14" s="33"/>
      <c r="B14" s="16" t="s">
        <v>45</v>
      </c>
      <c r="C14" s="34"/>
      <c r="D14" s="124">
        <f>26+44</f>
        <v>70</v>
      </c>
      <c r="E14" s="26"/>
      <c r="F14" s="124">
        <v>0</v>
      </c>
      <c r="G14" s="26"/>
      <c r="H14" s="124">
        <v>3</v>
      </c>
      <c r="I14" s="26"/>
      <c r="J14" s="124">
        <v>0</v>
      </c>
      <c r="K14" s="26"/>
      <c r="L14" s="124">
        <v>0</v>
      </c>
      <c r="M14" s="26"/>
      <c r="N14" s="124">
        <v>4</v>
      </c>
      <c r="O14" s="26"/>
      <c r="P14" s="124">
        <v>0</v>
      </c>
      <c r="Q14" s="26"/>
      <c r="R14" s="124">
        <v>61</v>
      </c>
      <c r="S14" s="26"/>
      <c r="T14" s="99">
        <f t="shared" si="0"/>
        <v>138</v>
      </c>
      <c r="U14" s="36"/>
      <c r="V14" s="3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37" customFormat="1" ht="15">
      <c r="A15" s="33"/>
      <c r="B15" s="17" t="s">
        <v>90</v>
      </c>
      <c r="C15" s="38"/>
      <c r="D15" s="124">
        <f>10+56</f>
        <v>66</v>
      </c>
      <c r="E15" s="26"/>
      <c r="F15" s="124">
        <v>0</v>
      </c>
      <c r="G15" s="26"/>
      <c r="H15" s="124">
        <v>0</v>
      </c>
      <c r="I15" s="26"/>
      <c r="J15" s="124">
        <v>0</v>
      </c>
      <c r="K15" s="26"/>
      <c r="L15" s="124">
        <v>0</v>
      </c>
      <c r="M15" s="26"/>
      <c r="N15" s="124">
        <v>1</v>
      </c>
      <c r="O15" s="26"/>
      <c r="P15" s="124">
        <v>0</v>
      </c>
      <c r="Q15" s="26"/>
      <c r="R15" s="124">
        <v>58</v>
      </c>
      <c r="S15" s="26"/>
      <c r="T15" s="99">
        <f t="shared" si="0"/>
        <v>125</v>
      </c>
      <c r="U15" s="36"/>
      <c r="V15" s="3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37" customFormat="1" ht="15" customHeight="1">
      <c r="A16" s="33"/>
      <c r="B16" s="17" t="s">
        <v>98</v>
      </c>
      <c r="C16" s="34"/>
      <c r="D16" s="124">
        <f>15+56</f>
        <v>71</v>
      </c>
      <c r="E16" s="26"/>
      <c r="F16" s="124">
        <v>0</v>
      </c>
      <c r="G16" s="26"/>
      <c r="H16" s="124">
        <v>0</v>
      </c>
      <c r="I16" s="26"/>
      <c r="J16" s="124">
        <v>0</v>
      </c>
      <c r="K16" s="26"/>
      <c r="L16" s="124">
        <v>0</v>
      </c>
      <c r="M16" s="26"/>
      <c r="N16" s="124">
        <v>4</v>
      </c>
      <c r="O16" s="26"/>
      <c r="P16" s="124">
        <v>0</v>
      </c>
      <c r="Q16" s="26"/>
      <c r="R16" s="124">
        <v>52</v>
      </c>
      <c r="S16" s="26"/>
      <c r="T16" s="99">
        <f t="shared" si="0"/>
        <v>127</v>
      </c>
      <c r="U16" s="36"/>
      <c r="V16" s="3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37" customFormat="1" ht="15" customHeight="1">
      <c r="A17" s="33"/>
      <c r="B17" s="17" t="s">
        <v>121</v>
      </c>
      <c r="C17" s="34"/>
      <c r="D17" s="124">
        <f>34+43</f>
        <v>77</v>
      </c>
      <c r="E17" s="26"/>
      <c r="F17" s="124">
        <v>2</v>
      </c>
      <c r="G17" s="26"/>
      <c r="H17" s="124">
        <v>0</v>
      </c>
      <c r="I17" s="26"/>
      <c r="J17" s="124">
        <v>0</v>
      </c>
      <c r="K17" s="26"/>
      <c r="L17" s="124">
        <v>0</v>
      </c>
      <c r="M17" s="26"/>
      <c r="N17" s="124">
        <v>4</v>
      </c>
      <c r="O17" s="26"/>
      <c r="P17" s="124">
        <v>0</v>
      </c>
      <c r="Q17" s="26"/>
      <c r="R17" s="124">
        <v>41</v>
      </c>
      <c r="S17" s="26"/>
      <c r="T17" s="99">
        <f t="shared" si="0"/>
        <v>124</v>
      </c>
      <c r="U17" s="36"/>
      <c r="V17" s="31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37" customFormat="1" ht="15">
      <c r="A18" s="33"/>
      <c r="B18" s="95" t="s">
        <v>24</v>
      </c>
      <c r="C18" s="31"/>
      <c r="D18" s="53">
        <f>SUM(D9:D17)</f>
        <v>768</v>
      </c>
      <c r="E18" s="100"/>
      <c r="F18" s="53">
        <f>SUM(F9:F17)</f>
        <v>15</v>
      </c>
      <c r="G18" s="100"/>
      <c r="H18" s="53">
        <f>SUM(H9:H17)</f>
        <v>22</v>
      </c>
      <c r="I18" s="100"/>
      <c r="J18" s="53">
        <f>SUM(J9:J17)</f>
        <v>0</v>
      </c>
      <c r="K18" s="100"/>
      <c r="L18" s="53">
        <f>SUM(L9:L17)</f>
        <v>0</v>
      </c>
      <c r="M18" s="100"/>
      <c r="N18" s="53">
        <f>SUM(N9:N17)</f>
        <v>20</v>
      </c>
      <c r="O18" s="100"/>
      <c r="P18" s="53">
        <f>SUM(P9:P17)</f>
        <v>2</v>
      </c>
      <c r="Q18" s="100"/>
      <c r="R18" s="53">
        <f>SUM(R9:R17)</f>
        <v>476</v>
      </c>
      <c r="S18" s="26"/>
      <c r="T18" s="53">
        <f>SUM(T9:T17)</f>
        <v>1303</v>
      </c>
      <c r="U18" s="36"/>
      <c r="V18" s="3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2" ht="15">
      <c r="A19" s="30"/>
      <c r="B19" s="44"/>
      <c r="C19" s="44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86" t="s">
        <v>4</v>
      </c>
      <c r="S19" s="26"/>
      <c r="T19" s="27">
        <f>T18-T20</f>
        <v>781</v>
      </c>
      <c r="U19" s="40"/>
      <c r="V19" s="14"/>
    </row>
    <row r="20" spans="1:22" ht="1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86" t="s">
        <v>5</v>
      </c>
      <c r="S20" s="22"/>
      <c r="T20" s="27">
        <v>522</v>
      </c>
      <c r="U20" s="41"/>
      <c r="V20" s="14"/>
    </row>
    <row r="21" spans="1:253" s="64" customFormat="1" ht="15">
      <c r="A21" s="59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62"/>
      <c r="V21" s="60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</row>
    <row r="22" spans="1:22" ht="15.75">
      <c r="A22" s="30"/>
      <c r="B22" s="8" t="s">
        <v>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14"/>
    </row>
    <row r="23" spans="1:22" ht="15">
      <c r="A23" s="30"/>
      <c r="B23" s="125" t="s">
        <v>27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/>
      <c r="V23" s="14"/>
    </row>
    <row r="24" spans="1:253" s="37" customFormat="1" ht="15">
      <c r="A24" s="33"/>
      <c r="B24" s="17" t="s">
        <v>32</v>
      </c>
      <c r="C24" s="20"/>
      <c r="D24" s="124">
        <f>12+19</f>
        <v>31</v>
      </c>
      <c r="E24" s="26"/>
      <c r="F24" s="124">
        <v>2</v>
      </c>
      <c r="G24" s="26"/>
      <c r="H24" s="124">
        <v>1</v>
      </c>
      <c r="I24" s="26"/>
      <c r="J24" s="124">
        <v>0</v>
      </c>
      <c r="K24" s="26"/>
      <c r="L24" s="124">
        <v>0</v>
      </c>
      <c r="M24" s="26"/>
      <c r="N24" s="124">
        <v>0</v>
      </c>
      <c r="O24" s="26"/>
      <c r="P24" s="124">
        <v>0</v>
      </c>
      <c r="Q24" s="26"/>
      <c r="R24" s="124">
        <f>99+2</f>
        <v>101</v>
      </c>
      <c r="S24" s="26"/>
      <c r="T24" s="26">
        <f>SUM(D24:R24)</f>
        <v>135</v>
      </c>
      <c r="U24" s="36"/>
      <c r="V24" s="31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1" ht="15">
      <c r="A25" s="30"/>
      <c r="B25" s="16" t="s">
        <v>33</v>
      </c>
      <c r="C25" s="14"/>
      <c r="D25" s="124">
        <f>25+36</f>
        <v>61</v>
      </c>
      <c r="E25" s="27"/>
      <c r="F25" s="124">
        <v>3</v>
      </c>
      <c r="G25" s="27"/>
      <c r="H25" s="124">
        <v>2</v>
      </c>
      <c r="I25" s="27"/>
      <c r="J25" s="124">
        <v>0</v>
      </c>
      <c r="K25" s="27"/>
      <c r="L25" s="124">
        <v>0</v>
      </c>
      <c r="M25" s="27"/>
      <c r="N25" s="124">
        <v>3</v>
      </c>
      <c r="O25" s="27"/>
      <c r="P25" s="124">
        <v>0</v>
      </c>
      <c r="Q25" s="27"/>
      <c r="R25" s="124">
        <v>73</v>
      </c>
      <c r="S25" s="27"/>
      <c r="T25" s="26">
        <f aca="true" t="shared" si="1" ref="T25:T30">SUM(D25:R25)</f>
        <v>142</v>
      </c>
      <c r="U25" s="32"/>
    </row>
    <row r="26" spans="1:253" s="37" customFormat="1" ht="15">
      <c r="A26" s="33"/>
      <c r="B26" s="17" t="s">
        <v>34</v>
      </c>
      <c r="C26" s="20"/>
      <c r="D26" s="124">
        <f>24+38</f>
        <v>62</v>
      </c>
      <c r="E26" s="26"/>
      <c r="F26" s="124">
        <v>4</v>
      </c>
      <c r="G26" s="26"/>
      <c r="H26" s="124">
        <v>9</v>
      </c>
      <c r="I26" s="26"/>
      <c r="J26" s="124">
        <v>0</v>
      </c>
      <c r="K26" s="26"/>
      <c r="L26" s="124">
        <v>0</v>
      </c>
      <c r="M26" s="26"/>
      <c r="N26" s="124">
        <v>1</v>
      </c>
      <c r="O26" s="26"/>
      <c r="P26" s="124">
        <v>0</v>
      </c>
      <c r="Q26" s="26"/>
      <c r="R26" s="124">
        <f>78+2</f>
        <v>80</v>
      </c>
      <c r="S26" s="26"/>
      <c r="T26" s="26">
        <f t="shared" si="1"/>
        <v>156</v>
      </c>
      <c r="U26" s="36"/>
      <c r="V26" s="31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37" customFormat="1" ht="15">
      <c r="A27" s="33"/>
      <c r="B27" s="16" t="s">
        <v>35</v>
      </c>
      <c r="C27" s="20"/>
      <c r="D27" s="124">
        <v>17</v>
      </c>
      <c r="E27" s="26"/>
      <c r="F27" s="124">
        <v>0</v>
      </c>
      <c r="G27" s="26"/>
      <c r="H27" s="124">
        <v>1</v>
      </c>
      <c r="I27" s="26"/>
      <c r="J27" s="124">
        <v>0</v>
      </c>
      <c r="K27" s="26"/>
      <c r="L27" s="124">
        <v>0</v>
      </c>
      <c r="M27" s="26"/>
      <c r="N27" s="124">
        <v>2</v>
      </c>
      <c r="O27" s="26"/>
      <c r="P27" s="124">
        <v>0</v>
      </c>
      <c r="Q27" s="26"/>
      <c r="R27" s="124">
        <v>113</v>
      </c>
      <c r="S27" s="26"/>
      <c r="T27" s="26">
        <f t="shared" si="1"/>
        <v>133</v>
      </c>
      <c r="U27" s="36"/>
      <c r="V27" s="31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37" customFormat="1" ht="15">
      <c r="A28" s="33"/>
      <c r="B28" s="16" t="s">
        <v>36</v>
      </c>
      <c r="C28" s="20"/>
      <c r="D28" s="124">
        <f>36+29</f>
        <v>65</v>
      </c>
      <c r="E28" s="26"/>
      <c r="F28" s="124">
        <v>2</v>
      </c>
      <c r="G28" s="26"/>
      <c r="H28" s="124">
        <v>1</v>
      </c>
      <c r="I28" s="26"/>
      <c r="J28" s="124">
        <v>0</v>
      </c>
      <c r="K28" s="26"/>
      <c r="L28" s="124">
        <v>0</v>
      </c>
      <c r="M28" s="26"/>
      <c r="N28" s="124">
        <v>4</v>
      </c>
      <c r="O28" s="26"/>
      <c r="P28" s="124">
        <v>0</v>
      </c>
      <c r="Q28" s="26"/>
      <c r="R28" s="124">
        <f>60</f>
        <v>60</v>
      </c>
      <c r="S28" s="26"/>
      <c r="T28" s="26">
        <f t="shared" si="1"/>
        <v>132</v>
      </c>
      <c r="U28" s="36"/>
      <c r="V28" s="3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37" customFormat="1" ht="15">
      <c r="A29" s="33"/>
      <c r="B29" s="16" t="s">
        <v>37</v>
      </c>
      <c r="C29" s="20"/>
      <c r="D29" s="124">
        <v>66</v>
      </c>
      <c r="E29" s="26"/>
      <c r="F29" s="124">
        <v>1</v>
      </c>
      <c r="G29" s="26"/>
      <c r="H29" s="124">
        <v>4</v>
      </c>
      <c r="I29" s="26"/>
      <c r="J29" s="124">
        <v>0</v>
      </c>
      <c r="K29" s="26"/>
      <c r="L29" s="124">
        <v>0</v>
      </c>
      <c r="M29" s="26"/>
      <c r="N29" s="124">
        <v>3</v>
      </c>
      <c r="O29" s="26"/>
      <c r="P29" s="124">
        <v>0</v>
      </c>
      <c r="Q29" s="26"/>
      <c r="R29" s="124">
        <v>78</v>
      </c>
      <c r="S29" s="26"/>
      <c r="T29" s="26">
        <f t="shared" si="1"/>
        <v>152</v>
      </c>
      <c r="U29" s="36"/>
      <c r="V29" s="31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37" customFormat="1" ht="15.75" customHeight="1">
      <c r="A30" s="33"/>
      <c r="B30" s="126" t="s">
        <v>119</v>
      </c>
      <c r="C30" s="20"/>
      <c r="D30" s="124">
        <f>35+26</f>
        <v>61</v>
      </c>
      <c r="E30" s="26"/>
      <c r="F30" s="124">
        <v>0</v>
      </c>
      <c r="G30" s="26"/>
      <c r="H30" s="124">
        <v>0</v>
      </c>
      <c r="I30" s="26"/>
      <c r="J30" s="124">
        <v>0</v>
      </c>
      <c r="K30" s="26"/>
      <c r="L30" s="124">
        <v>0</v>
      </c>
      <c r="M30" s="26"/>
      <c r="N30" s="124">
        <v>2</v>
      </c>
      <c r="O30" s="26"/>
      <c r="P30" s="124">
        <v>0</v>
      </c>
      <c r="Q30" s="26"/>
      <c r="R30" s="124">
        <v>74</v>
      </c>
      <c r="S30" s="26"/>
      <c r="T30" s="26">
        <f t="shared" si="1"/>
        <v>137</v>
      </c>
      <c r="U30" s="36"/>
      <c r="V30" s="31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37" customFormat="1" ht="15">
      <c r="A31" s="33"/>
      <c r="B31" s="104" t="s">
        <v>28</v>
      </c>
      <c r="C31" s="20"/>
      <c r="D31" s="124"/>
      <c r="E31" s="26"/>
      <c r="F31" s="124"/>
      <c r="G31" s="26"/>
      <c r="H31" s="124"/>
      <c r="I31" s="26"/>
      <c r="J31" s="124"/>
      <c r="K31" s="26"/>
      <c r="L31" s="124"/>
      <c r="M31" s="26"/>
      <c r="N31" s="124"/>
      <c r="O31" s="26"/>
      <c r="P31" s="124"/>
      <c r="Q31" s="26"/>
      <c r="R31" s="124"/>
      <c r="S31" s="26"/>
      <c r="T31" s="26"/>
      <c r="U31" s="36"/>
      <c r="V31" s="31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37" customFormat="1" ht="14.25" customHeight="1">
      <c r="A32" s="33"/>
      <c r="B32" s="16" t="s">
        <v>123</v>
      </c>
      <c r="C32" s="20"/>
      <c r="D32" s="124">
        <v>7</v>
      </c>
      <c r="E32" s="26"/>
      <c r="F32" s="124">
        <v>0</v>
      </c>
      <c r="G32" s="26"/>
      <c r="H32" s="124">
        <v>0</v>
      </c>
      <c r="I32" s="26"/>
      <c r="J32" s="124">
        <v>0</v>
      </c>
      <c r="K32" s="26"/>
      <c r="L32" s="124">
        <v>0</v>
      </c>
      <c r="M32" s="26"/>
      <c r="N32" s="124">
        <v>0</v>
      </c>
      <c r="O32" s="26"/>
      <c r="P32" s="124">
        <v>0</v>
      </c>
      <c r="Q32" s="26"/>
      <c r="R32" s="124">
        <v>0</v>
      </c>
      <c r="S32" s="26"/>
      <c r="T32" s="26">
        <f>SUM(D32:R32)</f>
        <v>7</v>
      </c>
      <c r="U32" s="36"/>
      <c r="V32" s="31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37" customFormat="1" ht="15">
      <c r="A33" s="33"/>
      <c r="B33" s="16" t="s">
        <v>117</v>
      </c>
      <c r="C33" s="20"/>
      <c r="D33" s="124">
        <v>1</v>
      </c>
      <c r="E33" s="26"/>
      <c r="F33" s="124">
        <v>0</v>
      </c>
      <c r="G33" s="26"/>
      <c r="H33" s="124">
        <v>0</v>
      </c>
      <c r="I33" s="26"/>
      <c r="J33" s="124">
        <v>0</v>
      </c>
      <c r="K33" s="26"/>
      <c r="L33" s="124">
        <v>0</v>
      </c>
      <c r="M33" s="26"/>
      <c r="N33" s="124">
        <v>0</v>
      </c>
      <c r="O33" s="26"/>
      <c r="P33" s="124">
        <v>0</v>
      </c>
      <c r="Q33" s="26"/>
      <c r="R33" s="124">
        <v>0</v>
      </c>
      <c r="S33" s="26"/>
      <c r="T33" s="26">
        <f>SUM(D33:R33)</f>
        <v>1</v>
      </c>
      <c r="U33" s="36"/>
      <c r="V33" s="31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1" ht="15">
      <c r="A34" s="30"/>
      <c r="B34" s="16" t="s">
        <v>118</v>
      </c>
      <c r="C34" s="14"/>
      <c r="D34" s="27">
        <v>1</v>
      </c>
      <c r="E34" s="27"/>
      <c r="F34" s="27">
        <v>0</v>
      </c>
      <c r="G34" s="27"/>
      <c r="H34" s="27">
        <v>0</v>
      </c>
      <c r="I34" s="27"/>
      <c r="J34" s="27">
        <v>0</v>
      </c>
      <c r="K34" s="27"/>
      <c r="L34" s="124">
        <v>0</v>
      </c>
      <c r="M34" s="27"/>
      <c r="N34" s="27">
        <v>0</v>
      </c>
      <c r="O34" s="27"/>
      <c r="P34" s="124">
        <v>0</v>
      </c>
      <c r="Q34" s="27"/>
      <c r="R34" s="27">
        <v>0</v>
      </c>
      <c r="S34" s="27"/>
      <c r="T34" s="26">
        <f>SUM(D34:R34)</f>
        <v>1</v>
      </c>
      <c r="U34" s="32"/>
    </row>
    <row r="35" spans="1:253" s="37" customFormat="1" ht="15">
      <c r="A35" s="33"/>
      <c r="B35" s="96" t="s">
        <v>24</v>
      </c>
      <c r="C35" s="20"/>
      <c r="D35" s="57">
        <f>SUM(D24:D34)</f>
        <v>372</v>
      </c>
      <c r="E35" s="100"/>
      <c r="F35" s="57">
        <f>SUM(F24:F34)</f>
        <v>12</v>
      </c>
      <c r="G35" s="100"/>
      <c r="H35" s="57">
        <f>SUM(H24:H34)</f>
        <v>18</v>
      </c>
      <c r="I35" s="100"/>
      <c r="J35" s="57">
        <f>SUM(J24:J34)</f>
        <v>0</v>
      </c>
      <c r="K35" s="100"/>
      <c r="L35" s="57">
        <f>SUM(L24:L33)</f>
        <v>0</v>
      </c>
      <c r="M35" s="100"/>
      <c r="N35" s="57">
        <f>SUM(N24:N34)</f>
        <v>15</v>
      </c>
      <c r="O35" s="100"/>
      <c r="P35" s="57">
        <f>SUM(P24:P33)</f>
        <v>0</v>
      </c>
      <c r="Q35" s="100"/>
      <c r="R35" s="57">
        <f>SUM(R24:R34)</f>
        <v>579</v>
      </c>
      <c r="S35" s="26"/>
      <c r="T35" s="77">
        <f>SUM(T24:T34)</f>
        <v>996</v>
      </c>
      <c r="U35" s="36"/>
      <c r="V35" s="31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2" ht="15">
      <c r="A36" s="30"/>
      <c r="B36" s="44"/>
      <c r="C36" s="44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86" t="s">
        <v>4</v>
      </c>
      <c r="S36" s="38"/>
      <c r="T36" s="26">
        <f>T35-T37</f>
        <v>510</v>
      </c>
      <c r="U36" s="32"/>
      <c r="V36" s="14"/>
    </row>
    <row r="37" spans="1:22" ht="15">
      <c r="A37" s="30"/>
      <c r="B37" s="44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86" t="s">
        <v>5</v>
      </c>
      <c r="S37" s="22"/>
      <c r="T37" s="22">
        <v>486</v>
      </c>
      <c r="U37" s="32"/>
      <c r="V37" s="14"/>
    </row>
    <row r="38" spans="1:253" s="64" customFormat="1" ht="15">
      <c r="A38" s="5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65"/>
      <c r="V38" s="60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</row>
    <row r="39" spans="1:22" ht="15.75">
      <c r="A39" s="30"/>
      <c r="B39" s="8" t="s">
        <v>25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41"/>
      <c r="V39" s="14"/>
    </row>
    <row r="40" spans="1:253" s="37" customFormat="1" ht="15">
      <c r="A40" s="33"/>
      <c r="B40" s="125" t="s">
        <v>27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52"/>
      <c r="V40" s="3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37" customFormat="1" ht="15" customHeight="1">
      <c r="A41" s="33"/>
      <c r="B41" s="17" t="s">
        <v>105</v>
      </c>
      <c r="C41" s="38"/>
      <c r="D41" s="127">
        <f>82+13</f>
        <v>95</v>
      </c>
      <c r="E41" s="26"/>
      <c r="F41" s="127">
        <v>0</v>
      </c>
      <c r="G41" s="26"/>
      <c r="H41" s="127">
        <v>0</v>
      </c>
      <c r="I41" s="26"/>
      <c r="J41" s="127">
        <v>0</v>
      </c>
      <c r="K41" s="26"/>
      <c r="L41" s="127">
        <v>2</v>
      </c>
      <c r="M41" s="26"/>
      <c r="N41" s="127">
        <v>47</v>
      </c>
      <c r="O41" s="26"/>
      <c r="P41" s="127">
        <v>4</v>
      </c>
      <c r="Q41" s="26"/>
      <c r="R41" s="127">
        <v>25</v>
      </c>
      <c r="S41" s="26"/>
      <c r="T41" s="26">
        <f>SUM(D41:R41)</f>
        <v>173</v>
      </c>
      <c r="U41" s="36"/>
      <c r="V41" s="31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37" customFormat="1" ht="15">
      <c r="A42" s="33"/>
      <c r="B42" s="17" t="s">
        <v>38</v>
      </c>
      <c r="C42" s="38"/>
      <c r="D42" s="127">
        <f>95+27</f>
        <v>122</v>
      </c>
      <c r="E42" s="26"/>
      <c r="F42" s="127">
        <v>0</v>
      </c>
      <c r="G42" s="26"/>
      <c r="H42" s="127">
        <v>0</v>
      </c>
      <c r="I42" s="26"/>
      <c r="J42" s="127">
        <v>0</v>
      </c>
      <c r="K42" s="26"/>
      <c r="L42" s="127">
        <v>1</v>
      </c>
      <c r="M42" s="26"/>
      <c r="N42" s="127">
        <v>46</v>
      </c>
      <c r="O42" s="26"/>
      <c r="P42" s="127">
        <v>10</v>
      </c>
      <c r="Q42" s="26"/>
      <c r="R42" s="127">
        <v>29</v>
      </c>
      <c r="S42" s="26"/>
      <c r="T42" s="26">
        <f aca="true" t="shared" si="2" ref="T42:T47">SUM(D42:R42)</f>
        <v>208</v>
      </c>
      <c r="U42" s="36"/>
      <c r="V42" s="31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37" customFormat="1" ht="15">
      <c r="A43" s="33"/>
      <c r="B43" s="17" t="s">
        <v>39</v>
      </c>
      <c r="C43" s="38"/>
      <c r="D43" s="127">
        <f>74+13</f>
        <v>87</v>
      </c>
      <c r="E43" s="26"/>
      <c r="F43" s="127">
        <v>1</v>
      </c>
      <c r="G43" s="26"/>
      <c r="H43" s="127">
        <v>0</v>
      </c>
      <c r="I43" s="26"/>
      <c r="J43" s="127">
        <v>0</v>
      </c>
      <c r="K43" s="26"/>
      <c r="L43" s="127">
        <v>2</v>
      </c>
      <c r="M43" s="26"/>
      <c r="N43" s="127">
        <v>25</v>
      </c>
      <c r="O43" s="26"/>
      <c r="P43" s="127">
        <v>2</v>
      </c>
      <c r="Q43" s="26"/>
      <c r="R43" s="127">
        <v>28</v>
      </c>
      <c r="S43" s="26"/>
      <c r="T43" s="26">
        <f t="shared" si="2"/>
        <v>145</v>
      </c>
      <c r="U43" s="36"/>
      <c r="V43" s="31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37" customFormat="1" ht="15">
      <c r="A44" s="33"/>
      <c r="B44" s="17" t="s">
        <v>91</v>
      </c>
      <c r="C44" s="38"/>
      <c r="D44" s="127">
        <f>30+102</f>
        <v>132</v>
      </c>
      <c r="E44" s="26"/>
      <c r="F44" s="127">
        <v>0</v>
      </c>
      <c r="G44" s="26"/>
      <c r="H44" s="127">
        <v>0</v>
      </c>
      <c r="I44" s="26"/>
      <c r="J44" s="127">
        <v>0</v>
      </c>
      <c r="K44" s="26"/>
      <c r="L44" s="127">
        <v>2</v>
      </c>
      <c r="M44" s="26"/>
      <c r="N44" s="127">
        <v>45</v>
      </c>
      <c r="O44" s="26"/>
      <c r="P44" s="127">
        <v>4</v>
      </c>
      <c r="Q44" s="26"/>
      <c r="R44" s="127">
        <v>29</v>
      </c>
      <c r="S44" s="26"/>
      <c r="T44" s="26">
        <f t="shared" si="2"/>
        <v>212</v>
      </c>
      <c r="U44" s="36"/>
      <c r="V44" s="31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37" customFormat="1" ht="15" customHeight="1">
      <c r="A45" s="33"/>
      <c r="B45" s="17" t="s">
        <v>109</v>
      </c>
      <c r="C45" s="38"/>
      <c r="D45" s="127">
        <f>27+65</f>
        <v>92</v>
      </c>
      <c r="E45" s="26"/>
      <c r="F45" s="127">
        <v>5</v>
      </c>
      <c r="G45" s="26"/>
      <c r="H45" s="127">
        <v>1</v>
      </c>
      <c r="I45" s="26"/>
      <c r="J45" s="127">
        <v>0</v>
      </c>
      <c r="K45" s="26"/>
      <c r="L45" s="127">
        <v>0</v>
      </c>
      <c r="M45" s="26"/>
      <c r="N45" s="127">
        <v>47</v>
      </c>
      <c r="O45" s="26"/>
      <c r="P45" s="127">
        <v>6</v>
      </c>
      <c r="Q45" s="26"/>
      <c r="R45" s="127">
        <v>26</v>
      </c>
      <c r="S45" s="26"/>
      <c r="T45" s="26">
        <f t="shared" si="2"/>
        <v>177</v>
      </c>
      <c r="U45" s="36"/>
      <c r="V45" s="31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37" customFormat="1" ht="15">
      <c r="A46" s="33"/>
      <c r="B46" s="128" t="s">
        <v>28</v>
      </c>
      <c r="C46" s="38"/>
      <c r="D46" s="127"/>
      <c r="E46" s="26"/>
      <c r="F46" s="127"/>
      <c r="G46" s="26"/>
      <c r="H46" s="127"/>
      <c r="I46" s="26"/>
      <c r="J46" s="127"/>
      <c r="K46" s="26"/>
      <c r="L46" s="127"/>
      <c r="M46" s="26"/>
      <c r="N46" s="127"/>
      <c r="O46" s="26"/>
      <c r="P46" s="127"/>
      <c r="Q46" s="26"/>
      <c r="R46" s="127"/>
      <c r="S46" s="26"/>
      <c r="T46" s="26"/>
      <c r="U46" s="36"/>
      <c r="V46" s="31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37" customFormat="1" ht="15">
      <c r="A47" s="33"/>
      <c r="B47" s="17" t="s">
        <v>92</v>
      </c>
      <c r="C47" s="38"/>
      <c r="D47" s="127">
        <v>17</v>
      </c>
      <c r="E47" s="26"/>
      <c r="F47" s="127">
        <v>0</v>
      </c>
      <c r="G47" s="26"/>
      <c r="H47" s="127">
        <v>0</v>
      </c>
      <c r="I47" s="26"/>
      <c r="J47" s="127">
        <v>0</v>
      </c>
      <c r="K47" s="26"/>
      <c r="L47" s="127">
        <v>0</v>
      </c>
      <c r="M47" s="26"/>
      <c r="N47" s="127">
        <v>0</v>
      </c>
      <c r="O47" s="26"/>
      <c r="P47" s="127">
        <v>0</v>
      </c>
      <c r="Q47" s="26"/>
      <c r="R47" s="127">
        <v>0</v>
      </c>
      <c r="S47" s="26"/>
      <c r="T47" s="26">
        <f t="shared" si="2"/>
        <v>17</v>
      </c>
      <c r="U47" s="36"/>
      <c r="V47" s="31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37" customFormat="1" ht="15">
      <c r="A48" s="33"/>
      <c r="B48" s="95" t="s">
        <v>24</v>
      </c>
      <c r="C48" s="31"/>
      <c r="D48" s="57">
        <f>SUM(D41:D47)</f>
        <v>545</v>
      </c>
      <c r="E48" s="101"/>
      <c r="F48" s="57">
        <f>SUM(F41:F47)</f>
        <v>6</v>
      </c>
      <c r="G48" s="101"/>
      <c r="H48" s="57">
        <f>SUM(H41:H47)</f>
        <v>1</v>
      </c>
      <c r="I48" s="101"/>
      <c r="J48" s="57">
        <f>SUM(J41:J47)</f>
        <v>0</v>
      </c>
      <c r="K48" s="101"/>
      <c r="L48" s="57">
        <f>SUM(L41:L47)</f>
        <v>7</v>
      </c>
      <c r="M48" s="101"/>
      <c r="N48" s="57">
        <f>SUM(N41:N47)</f>
        <v>210</v>
      </c>
      <c r="O48" s="101"/>
      <c r="P48" s="57">
        <f>SUM(P41:P47)</f>
        <v>26</v>
      </c>
      <c r="Q48" s="101"/>
      <c r="R48" s="57">
        <f>SUM(R41:R47)</f>
        <v>137</v>
      </c>
      <c r="S48" s="35"/>
      <c r="T48" s="77">
        <f>SUM(T41:T47)</f>
        <v>932</v>
      </c>
      <c r="U48" s="36"/>
      <c r="V48" s="31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2" ht="15">
      <c r="A49" s="30"/>
      <c r="B49" s="17"/>
      <c r="C49" s="44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86" t="s">
        <v>4</v>
      </c>
      <c r="S49" s="38"/>
      <c r="T49" s="22">
        <f>T48-T50</f>
        <v>725</v>
      </c>
      <c r="U49" s="32"/>
      <c r="V49" s="14"/>
    </row>
    <row r="50" spans="1:253" s="123" customFormat="1" ht="15">
      <c r="A50" s="30"/>
      <c r="B50" s="38"/>
      <c r="C50" s="38"/>
      <c r="D50" s="38" t="s">
        <v>3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86" t="s">
        <v>5</v>
      </c>
      <c r="S50" s="39"/>
      <c r="T50" s="26">
        <v>207</v>
      </c>
      <c r="U50" s="32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</row>
    <row r="51" spans="1:253" s="129" customFormat="1" ht="15.75" thickBot="1">
      <c r="A51" s="13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131"/>
      <c r="U51" s="132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</row>
    <row r="52" spans="1:22" ht="16.5" thickTop="1">
      <c r="A52" s="30"/>
      <c r="B52" s="8" t="s">
        <v>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2"/>
      <c r="V52" s="14"/>
    </row>
    <row r="53" spans="1:22" ht="15">
      <c r="A53" s="30"/>
      <c r="B53" s="125" t="s">
        <v>27</v>
      </c>
      <c r="C53" s="31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14"/>
      <c r="O53" s="27"/>
      <c r="P53" s="27"/>
      <c r="Q53" s="27"/>
      <c r="R53" s="27"/>
      <c r="S53" s="27"/>
      <c r="T53" s="27"/>
      <c r="U53" s="32"/>
      <c r="V53" s="14"/>
    </row>
    <row r="54" spans="1:253" s="37" customFormat="1" ht="15" customHeight="1">
      <c r="A54" s="33"/>
      <c r="B54" s="18" t="s">
        <v>99</v>
      </c>
      <c r="C54" s="44"/>
      <c r="D54" s="124">
        <f>78+16</f>
        <v>94</v>
      </c>
      <c r="E54" s="26"/>
      <c r="F54" s="124">
        <v>6</v>
      </c>
      <c r="G54" s="26"/>
      <c r="H54" s="124">
        <v>8</v>
      </c>
      <c r="I54" s="26"/>
      <c r="J54" s="124">
        <v>0</v>
      </c>
      <c r="K54" s="26"/>
      <c r="L54" s="124">
        <v>0</v>
      </c>
      <c r="M54" s="26"/>
      <c r="N54" s="27">
        <v>1</v>
      </c>
      <c r="O54" s="26"/>
      <c r="P54" s="124">
        <v>1</v>
      </c>
      <c r="Q54" s="26"/>
      <c r="R54" s="124">
        <v>103</v>
      </c>
      <c r="S54" s="26"/>
      <c r="T54" s="27">
        <f aca="true" t="shared" si="3" ref="T54:T61">SUM(D54:R54)</f>
        <v>213</v>
      </c>
      <c r="U54" s="36"/>
      <c r="V54" s="31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37" customFormat="1" ht="15">
      <c r="A55" s="33"/>
      <c r="B55" s="18" t="s">
        <v>112</v>
      </c>
      <c r="C55" s="31"/>
      <c r="D55" s="124">
        <f>17+55</f>
        <v>72</v>
      </c>
      <c r="E55" s="26"/>
      <c r="F55" s="124">
        <v>5</v>
      </c>
      <c r="G55" s="26"/>
      <c r="H55" s="124">
        <v>1</v>
      </c>
      <c r="I55" s="26"/>
      <c r="J55" s="124">
        <v>0</v>
      </c>
      <c r="K55" s="26"/>
      <c r="L55" s="124">
        <v>0</v>
      </c>
      <c r="M55" s="26"/>
      <c r="N55" s="124">
        <v>2</v>
      </c>
      <c r="O55" s="26"/>
      <c r="P55" s="124">
        <v>0</v>
      </c>
      <c r="Q55" s="26"/>
      <c r="R55" s="124">
        <v>67</v>
      </c>
      <c r="S55" s="26"/>
      <c r="T55" s="27">
        <f t="shared" si="3"/>
        <v>147</v>
      </c>
      <c r="U55" s="36"/>
      <c r="V55" s="31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37" customFormat="1" ht="18">
      <c r="A56" s="33"/>
      <c r="B56" s="18" t="s">
        <v>130</v>
      </c>
      <c r="C56" s="31"/>
      <c r="D56" s="124">
        <f>21+6</f>
        <v>27</v>
      </c>
      <c r="E56" s="26"/>
      <c r="F56" s="124">
        <v>0</v>
      </c>
      <c r="G56" s="26"/>
      <c r="H56" s="124">
        <v>3</v>
      </c>
      <c r="I56" s="26"/>
      <c r="J56" s="124">
        <v>0</v>
      </c>
      <c r="K56" s="26"/>
      <c r="L56" s="124">
        <v>0</v>
      </c>
      <c r="M56" s="26"/>
      <c r="N56" s="124">
        <v>3</v>
      </c>
      <c r="O56" s="26"/>
      <c r="P56" s="124">
        <v>0</v>
      </c>
      <c r="Q56" s="26"/>
      <c r="R56" s="124">
        <v>27</v>
      </c>
      <c r="S56" s="26"/>
      <c r="T56" s="27">
        <f t="shared" si="3"/>
        <v>60</v>
      </c>
      <c r="U56" s="36"/>
      <c r="V56" s="31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37" customFormat="1" ht="15">
      <c r="A57" s="33"/>
      <c r="B57" s="18" t="s">
        <v>40</v>
      </c>
      <c r="C57" s="31"/>
      <c r="D57" s="124">
        <f>7+74</f>
        <v>81</v>
      </c>
      <c r="E57" s="26"/>
      <c r="F57" s="124">
        <v>1</v>
      </c>
      <c r="G57" s="26"/>
      <c r="H57" s="124">
        <v>2</v>
      </c>
      <c r="I57" s="26"/>
      <c r="J57" s="124">
        <v>0</v>
      </c>
      <c r="K57" s="26"/>
      <c r="L57" s="124">
        <v>0</v>
      </c>
      <c r="M57" s="26"/>
      <c r="N57" s="124">
        <v>1</v>
      </c>
      <c r="O57" s="26"/>
      <c r="P57" s="124">
        <v>1</v>
      </c>
      <c r="Q57" s="26"/>
      <c r="R57" s="124">
        <v>62</v>
      </c>
      <c r="S57" s="26"/>
      <c r="T57" s="27">
        <f t="shared" si="3"/>
        <v>148</v>
      </c>
      <c r="U57" s="36"/>
      <c r="V57" s="31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37" customFormat="1" ht="15">
      <c r="A58" s="33"/>
      <c r="B58" s="18" t="s">
        <v>41</v>
      </c>
      <c r="C58" s="31"/>
      <c r="D58" s="124">
        <f>67+15</f>
        <v>82</v>
      </c>
      <c r="E58" s="26"/>
      <c r="F58" s="124">
        <v>0</v>
      </c>
      <c r="G58" s="26"/>
      <c r="H58" s="124">
        <v>0</v>
      </c>
      <c r="I58" s="26"/>
      <c r="J58" s="124">
        <v>0</v>
      </c>
      <c r="K58" s="26"/>
      <c r="L58" s="124">
        <v>0</v>
      </c>
      <c r="M58" s="26"/>
      <c r="N58" s="124">
        <v>0</v>
      </c>
      <c r="O58" s="26"/>
      <c r="P58" s="124">
        <v>16</v>
      </c>
      <c r="Q58" s="26"/>
      <c r="R58" s="124">
        <v>57</v>
      </c>
      <c r="S58" s="26"/>
      <c r="T58" s="27">
        <f t="shared" si="3"/>
        <v>155</v>
      </c>
      <c r="U58" s="36"/>
      <c r="V58" s="31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37" customFormat="1" ht="15">
      <c r="A59" s="33"/>
      <c r="B59" s="18" t="s">
        <v>46</v>
      </c>
      <c r="C59" s="31"/>
      <c r="D59" s="124">
        <f>25+64</f>
        <v>89</v>
      </c>
      <c r="E59" s="26"/>
      <c r="F59" s="124">
        <v>0</v>
      </c>
      <c r="G59" s="26"/>
      <c r="H59" s="124">
        <v>2</v>
      </c>
      <c r="I59" s="26"/>
      <c r="J59" s="124">
        <v>0</v>
      </c>
      <c r="K59" s="26"/>
      <c r="L59" s="124">
        <v>0</v>
      </c>
      <c r="M59" s="26"/>
      <c r="N59" s="124">
        <v>4</v>
      </c>
      <c r="O59" s="26"/>
      <c r="P59" s="124">
        <v>2</v>
      </c>
      <c r="Q59" s="26"/>
      <c r="R59" s="124">
        <v>65</v>
      </c>
      <c r="S59" s="26"/>
      <c r="T59" s="27">
        <f t="shared" si="3"/>
        <v>162</v>
      </c>
      <c r="U59" s="36"/>
      <c r="V59" s="31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37" customFormat="1" ht="15">
      <c r="A60" s="33"/>
      <c r="B60" s="18" t="s">
        <v>93</v>
      </c>
      <c r="C60" s="31"/>
      <c r="D60" s="124">
        <f>64+31</f>
        <v>95</v>
      </c>
      <c r="E60" s="26"/>
      <c r="F60" s="124">
        <v>1</v>
      </c>
      <c r="G60" s="26"/>
      <c r="H60" s="124">
        <v>0</v>
      </c>
      <c r="I60" s="26"/>
      <c r="J60" s="124">
        <v>0</v>
      </c>
      <c r="K60" s="26"/>
      <c r="L60" s="124">
        <v>0</v>
      </c>
      <c r="M60" s="26"/>
      <c r="N60" s="124">
        <v>2</v>
      </c>
      <c r="O60" s="26"/>
      <c r="P60" s="124">
        <v>4</v>
      </c>
      <c r="Q60" s="26"/>
      <c r="R60" s="124">
        <v>65</v>
      </c>
      <c r="S60" s="26"/>
      <c r="T60" s="27">
        <f t="shared" si="3"/>
        <v>167</v>
      </c>
      <c r="U60" s="36"/>
      <c r="V60" s="31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37" customFormat="1" ht="18">
      <c r="A61" s="33"/>
      <c r="B61" s="18" t="s">
        <v>131</v>
      </c>
      <c r="C61" s="31"/>
      <c r="D61" s="124">
        <v>12</v>
      </c>
      <c r="E61" s="26"/>
      <c r="F61" s="124">
        <v>0</v>
      </c>
      <c r="G61" s="26"/>
      <c r="H61" s="124">
        <v>0</v>
      </c>
      <c r="I61" s="26"/>
      <c r="J61" s="124">
        <v>0</v>
      </c>
      <c r="K61" s="26"/>
      <c r="L61" s="124">
        <v>0</v>
      </c>
      <c r="M61" s="26"/>
      <c r="N61" s="124">
        <v>1</v>
      </c>
      <c r="O61" s="26"/>
      <c r="P61" s="124">
        <v>0</v>
      </c>
      <c r="Q61" s="26"/>
      <c r="R61" s="124">
        <v>26</v>
      </c>
      <c r="S61" s="26"/>
      <c r="T61" s="27">
        <f t="shared" si="3"/>
        <v>39</v>
      </c>
      <c r="U61" s="36"/>
      <c r="V61" s="31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32" ht="15">
      <c r="A62" s="30"/>
      <c r="B62" s="95" t="s">
        <v>24</v>
      </c>
      <c r="C62" s="44"/>
      <c r="D62" s="53">
        <f>SUM(D54:D61)</f>
        <v>552</v>
      </c>
      <c r="E62" s="100"/>
      <c r="F62" s="53">
        <f>SUM(F54:F61)</f>
        <v>13</v>
      </c>
      <c r="G62" s="100"/>
      <c r="H62" s="53">
        <f>SUM(H54:H61)</f>
        <v>16</v>
      </c>
      <c r="I62" s="100"/>
      <c r="J62" s="53">
        <f>SUM(J54:J60)</f>
        <v>0</v>
      </c>
      <c r="K62" s="100"/>
      <c r="L62" s="53">
        <f>SUM(L54:L60)</f>
        <v>0</v>
      </c>
      <c r="M62" s="100"/>
      <c r="N62" s="53">
        <f>SUM(N54:N61)</f>
        <v>14</v>
      </c>
      <c r="O62" s="100"/>
      <c r="P62" s="53">
        <f>SUM(P54:P61)</f>
        <v>24</v>
      </c>
      <c r="Q62" s="100"/>
      <c r="R62" s="53">
        <f>SUM(R54:R61)</f>
        <v>472</v>
      </c>
      <c r="S62" s="26"/>
      <c r="T62" s="53">
        <f>SUM(T54:T61)</f>
        <v>1091</v>
      </c>
      <c r="U62" s="45"/>
      <c r="V62" s="46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1:22" ht="1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86" t="s">
        <v>4</v>
      </c>
      <c r="S63" s="22"/>
      <c r="T63" s="22">
        <f>T62-T64</f>
        <v>623</v>
      </c>
      <c r="U63" s="40"/>
      <c r="V63" s="14"/>
    </row>
    <row r="64" spans="1:22" ht="1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86" t="s">
        <v>5</v>
      </c>
      <c r="S64" s="22"/>
      <c r="T64" s="22">
        <v>468</v>
      </c>
      <c r="U64" s="40"/>
      <c r="V64" s="14"/>
    </row>
    <row r="65" spans="1:253" s="129" customFormat="1" ht="15">
      <c r="A65" s="5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43"/>
      <c r="U65" s="65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</row>
    <row r="66" spans="1:22" ht="15.75">
      <c r="A66" s="30"/>
      <c r="B66" s="8" t="s">
        <v>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2"/>
      <c r="V66" s="14"/>
    </row>
    <row r="67" spans="1:22" ht="15">
      <c r="A67" s="30"/>
      <c r="B67" s="125" t="s">
        <v>27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124"/>
      <c r="Q67" s="31"/>
      <c r="R67" s="31"/>
      <c r="S67" s="31"/>
      <c r="T67" s="31"/>
      <c r="U67" s="32"/>
      <c r="V67" s="14"/>
    </row>
    <row r="68" spans="1:22" ht="15">
      <c r="A68" s="30"/>
      <c r="B68" s="17" t="s">
        <v>47</v>
      </c>
      <c r="C68" s="34"/>
      <c r="D68" s="124">
        <v>24</v>
      </c>
      <c r="E68" s="124"/>
      <c r="F68" s="124">
        <v>0</v>
      </c>
      <c r="G68" s="124"/>
      <c r="H68" s="124">
        <v>0</v>
      </c>
      <c r="I68" s="124"/>
      <c r="J68" s="124">
        <v>0</v>
      </c>
      <c r="K68" s="124"/>
      <c r="L68" s="124">
        <v>0</v>
      </c>
      <c r="M68" s="124"/>
      <c r="N68" s="124">
        <v>70</v>
      </c>
      <c r="O68" s="124"/>
      <c r="P68" s="124">
        <v>0</v>
      </c>
      <c r="Q68" s="124"/>
      <c r="R68" s="124">
        <v>45</v>
      </c>
      <c r="S68" s="27"/>
      <c r="T68" s="26">
        <f>SUM(D68:R68)</f>
        <v>139</v>
      </c>
      <c r="U68" s="32"/>
      <c r="V68" s="14"/>
    </row>
    <row r="69" spans="1:22" ht="15">
      <c r="A69" s="30"/>
      <c r="B69" s="17" t="s">
        <v>48</v>
      </c>
      <c r="C69" s="34"/>
      <c r="D69" s="124">
        <f>22+72</f>
        <v>94</v>
      </c>
      <c r="E69" s="124"/>
      <c r="F69" s="124">
        <v>0</v>
      </c>
      <c r="G69" s="124"/>
      <c r="H69" s="124">
        <v>0</v>
      </c>
      <c r="I69" s="124"/>
      <c r="J69" s="124">
        <v>0</v>
      </c>
      <c r="K69" s="124"/>
      <c r="L69" s="124">
        <v>0</v>
      </c>
      <c r="M69" s="124"/>
      <c r="N69" s="124">
        <v>16</v>
      </c>
      <c r="O69" s="124"/>
      <c r="P69" s="124">
        <v>0</v>
      </c>
      <c r="Q69" s="124"/>
      <c r="R69" s="124">
        <v>8</v>
      </c>
      <c r="S69" s="27"/>
      <c r="T69" s="26">
        <f aca="true" t="shared" si="4" ref="T69:T83">SUM(D69:R69)</f>
        <v>118</v>
      </c>
      <c r="U69" s="32"/>
      <c r="V69" s="14"/>
    </row>
    <row r="70" spans="1:22" ht="15">
      <c r="A70" s="30"/>
      <c r="B70" s="17" t="s">
        <v>49</v>
      </c>
      <c r="C70" s="34"/>
      <c r="D70" s="124">
        <f>23+63</f>
        <v>86</v>
      </c>
      <c r="E70" s="124"/>
      <c r="F70" s="124">
        <v>0</v>
      </c>
      <c r="G70" s="124"/>
      <c r="H70" s="124">
        <v>0</v>
      </c>
      <c r="I70" s="124"/>
      <c r="J70" s="124">
        <v>0</v>
      </c>
      <c r="K70" s="124"/>
      <c r="L70" s="124">
        <v>1</v>
      </c>
      <c r="M70" s="124"/>
      <c r="N70" s="124">
        <v>22</v>
      </c>
      <c r="O70" s="124"/>
      <c r="P70" s="124">
        <v>0</v>
      </c>
      <c r="Q70" s="124"/>
      <c r="R70" s="124">
        <v>8</v>
      </c>
      <c r="S70" s="27"/>
      <c r="T70" s="26">
        <f t="shared" si="4"/>
        <v>117</v>
      </c>
      <c r="U70" s="32"/>
      <c r="V70" s="14"/>
    </row>
    <row r="71" spans="1:253" s="37" customFormat="1" ht="15">
      <c r="A71" s="33"/>
      <c r="B71" s="17" t="s">
        <v>50</v>
      </c>
      <c r="C71" s="34"/>
      <c r="D71" s="124">
        <f>56+42</f>
        <v>98</v>
      </c>
      <c r="E71" s="124"/>
      <c r="F71" s="124">
        <v>0</v>
      </c>
      <c r="G71" s="124"/>
      <c r="H71" s="124">
        <v>0</v>
      </c>
      <c r="I71" s="124"/>
      <c r="J71" s="124">
        <v>1</v>
      </c>
      <c r="K71" s="124"/>
      <c r="L71" s="124">
        <v>0</v>
      </c>
      <c r="M71" s="124"/>
      <c r="N71" s="124">
        <v>20</v>
      </c>
      <c r="O71" s="124"/>
      <c r="P71" s="124">
        <v>0</v>
      </c>
      <c r="Q71" s="124"/>
      <c r="R71" s="124">
        <v>10</v>
      </c>
      <c r="S71" s="26"/>
      <c r="T71" s="26">
        <f t="shared" si="4"/>
        <v>129</v>
      </c>
      <c r="U71" s="36"/>
      <c r="V71" s="31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37" customFormat="1" ht="15">
      <c r="A72" s="33"/>
      <c r="B72" s="17" t="s">
        <v>51</v>
      </c>
      <c r="C72" s="34"/>
      <c r="D72" s="124">
        <f>39+48</f>
        <v>87</v>
      </c>
      <c r="E72" s="124"/>
      <c r="F72" s="124">
        <v>0</v>
      </c>
      <c r="G72" s="124"/>
      <c r="H72" s="124">
        <v>2</v>
      </c>
      <c r="I72" s="124"/>
      <c r="J72" s="124">
        <v>0</v>
      </c>
      <c r="K72" s="124"/>
      <c r="L72" s="124">
        <v>0</v>
      </c>
      <c r="M72" s="124"/>
      <c r="N72" s="124">
        <v>20</v>
      </c>
      <c r="O72" s="124"/>
      <c r="P72" s="124">
        <v>0</v>
      </c>
      <c r="Q72" s="124"/>
      <c r="R72" s="124">
        <v>12</v>
      </c>
      <c r="S72" s="26"/>
      <c r="T72" s="26">
        <f t="shared" si="4"/>
        <v>121</v>
      </c>
      <c r="U72" s="36"/>
      <c r="V72" s="31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37" customFormat="1" ht="15">
      <c r="A73" s="33"/>
      <c r="B73" s="17" t="s">
        <v>52</v>
      </c>
      <c r="C73" s="34"/>
      <c r="D73" s="124">
        <f>27+59</f>
        <v>86</v>
      </c>
      <c r="E73" s="124"/>
      <c r="F73" s="124">
        <v>0</v>
      </c>
      <c r="G73" s="124"/>
      <c r="H73" s="124">
        <v>2</v>
      </c>
      <c r="I73" s="124"/>
      <c r="J73" s="124">
        <v>0</v>
      </c>
      <c r="K73" s="124"/>
      <c r="L73" s="124">
        <v>0</v>
      </c>
      <c r="M73" s="124"/>
      <c r="N73" s="124">
        <v>21</v>
      </c>
      <c r="O73" s="124"/>
      <c r="P73" s="124">
        <v>0</v>
      </c>
      <c r="Q73" s="124"/>
      <c r="R73" s="124">
        <v>13</v>
      </c>
      <c r="S73" s="26"/>
      <c r="T73" s="26">
        <f t="shared" si="4"/>
        <v>122</v>
      </c>
      <c r="U73" s="36"/>
      <c r="V73" s="31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37" customFormat="1" ht="15">
      <c r="A74" s="33"/>
      <c r="B74" s="17" t="s">
        <v>53</v>
      </c>
      <c r="C74" s="34"/>
      <c r="D74" s="124">
        <f>55+42</f>
        <v>97</v>
      </c>
      <c r="E74" s="124"/>
      <c r="F74" s="124">
        <v>0</v>
      </c>
      <c r="G74" s="124"/>
      <c r="H74" s="124">
        <v>0</v>
      </c>
      <c r="I74" s="124"/>
      <c r="J74" s="124">
        <v>0</v>
      </c>
      <c r="K74" s="124"/>
      <c r="L74" s="124">
        <v>0</v>
      </c>
      <c r="M74" s="124"/>
      <c r="N74" s="124">
        <v>12</v>
      </c>
      <c r="O74" s="124"/>
      <c r="P74" s="124">
        <v>0</v>
      </c>
      <c r="Q74" s="124"/>
      <c r="R74" s="124">
        <v>16</v>
      </c>
      <c r="S74" s="26"/>
      <c r="T74" s="26">
        <f t="shared" si="4"/>
        <v>125</v>
      </c>
      <c r="U74" s="36"/>
      <c r="V74" s="31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37" customFormat="1" ht="15">
      <c r="A75" s="33"/>
      <c r="B75" s="17" t="s">
        <v>54</v>
      </c>
      <c r="C75" s="34"/>
      <c r="D75" s="124">
        <f>33+66</f>
        <v>99</v>
      </c>
      <c r="E75" s="124"/>
      <c r="F75" s="124">
        <v>0</v>
      </c>
      <c r="G75" s="124"/>
      <c r="H75" s="124">
        <v>2</v>
      </c>
      <c r="I75" s="124"/>
      <c r="J75" s="124">
        <v>0</v>
      </c>
      <c r="K75" s="124"/>
      <c r="L75" s="124">
        <v>0</v>
      </c>
      <c r="M75" s="124"/>
      <c r="N75" s="124">
        <v>20</v>
      </c>
      <c r="O75" s="124"/>
      <c r="P75" s="124">
        <v>0</v>
      </c>
      <c r="Q75" s="124"/>
      <c r="R75" s="124">
        <v>7</v>
      </c>
      <c r="S75" s="26"/>
      <c r="T75" s="26">
        <f t="shared" si="4"/>
        <v>128</v>
      </c>
      <c r="U75" s="36"/>
      <c r="V75" s="31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37" customFormat="1" ht="15">
      <c r="A76" s="33"/>
      <c r="B76" s="17" t="s">
        <v>55</v>
      </c>
      <c r="C76" s="34"/>
      <c r="D76" s="124">
        <f>29+61</f>
        <v>90</v>
      </c>
      <c r="E76" s="124"/>
      <c r="F76" s="124">
        <v>0</v>
      </c>
      <c r="G76" s="124"/>
      <c r="H76" s="124">
        <v>0</v>
      </c>
      <c r="I76" s="124"/>
      <c r="J76" s="124">
        <v>0</v>
      </c>
      <c r="K76" s="124"/>
      <c r="L76" s="124">
        <v>0</v>
      </c>
      <c r="M76" s="124"/>
      <c r="N76" s="124">
        <v>23</v>
      </c>
      <c r="O76" s="124"/>
      <c r="P76" s="124">
        <v>0</v>
      </c>
      <c r="Q76" s="124"/>
      <c r="R76" s="124">
        <v>8</v>
      </c>
      <c r="S76" s="26"/>
      <c r="T76" s="26">
        <f t="shared" si="4"/>
        <v>121</v>
      </c>
      <c r="U76" s="36"/>
      <c r="V76" s="31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37" customFormat="1" ht="15">
      <c r="A77" s="33"/>
      <c r="B77" s="17" t="s">
        <v>56</v>
      </c>
      <c r="C77" s="34"/>
      <c r="D77" s="124">
        <f>49+51</f>
        <v>100</v>
      </c>
      <c r="E77" s="124"/>
      <c r="F77" s="124">
        <v>0</v>
      </c>
      <c r="G77" s="124"/>
      <c r="H77" s="124">
        <v>0</v>
      </c>
      <c r="I77" s="124"/>
      <c r="J77" s="124">
        <v>0</v>
      </c>
      <c r="K77" s="124"/>
      <c r="L77" s="124">
        <v>0</v>
      </c>
      <c r="M77" s="124"/>
      <c r="N77" s="124">
        <v>16</v>
      </c>
      <c r="O77" s="124"/>
      <c r="P77" s="124">
        <v>0</v>
      </c>
      <c r="Q77" s="124"/>
      <c r="R77" s="124">
        <v>17</v>
      </c>
      <c r="S77" s="26"/>
      <c r="T77" s="26">
        <f t="shared" si="4"/>
        <v>133</v>
      </c>
      <c r="U77" s="36"/>
      <c r="V77" s="31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37" customFormat="1" ht="15">
      <c r="A78" s="33"/>
      <c r="B78" s="17" t="s">
        <v>104</v>
      </c>
      <c r="C78" s="34"/>
      <c r="D78" s="124">
        <f>59+43</f>
        <v>102</v>
      </c>
      <c r="E78" s="124"/>
      <c r="F78" s="124">
        <v>1</v>
      </c>
      <c r="G78" s="124"/>
      <c r="H78" s="124">
        <v>0</v>
      </c>
      <c r="I78" s="124"/>
      <c r="J78" s="124">
        <v>0</v>
      </c>
      <c r="K78" s="124"/>
      <c r="L78" s="124">
        <v>0</v>
      </c>
      <c r="M78" s="124"/>
      <c r="N78" s="124">
        <v>20</v>
      </c>
      <c r="O78" s="124"/>
      <c r="P78" s="124">
        <v>0</v>
      </c>
      <c r="Q78" s="124"/>
      <c r="R78" s="124">
        <v>8</v>
      </c>
      <c r="S78" s="26"/>
      <c r="T78" s="26">
        <f t="shared" si="4"/>
        <v>131</v>
      </c>
      <c r="U78" s="36"/>
      <c r="V78" s="31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37" customFormat="1" ht="15" customHeight="1">
      <c r="A79" s="33"/>
      <c r="B79" s="17" t="s">
        <v>106</v>
      </c>
      <c r="C79" s="34"/>
      <c r="D79" s="124">
        <f>74+19</f>
        <v>93</v>
      </c>
      <c r="E79" s="124"/>
      <c r="F79" s="124">
        <v>0</v>
      </c>
      <c r="G79" s="124"/>
      <c r="H79" s="124">
        <v>1</v>
      </c>
      <c r="I79" s="124"/>
      <c r="J79" s="124">
        <v>0</v>
      </c>
      <c r="K79" s="124"/>
      <c r="L79" s="124">
        <v>0</v>
      </c>
      <c r="M79" s="124"/>
      <c r="N79" s="124">
        <v>17</v>
      </c>
      <c r="O79" s="124"/>
      <c r="P79" s="124">
        <v>0</v>
      </c>
      <c r="Q79" s="124"/>
      <c r="R79" s="124">
        <v>14</v>
      </c>
      <c r="S79" s="26"/>
      <c r="T79" s="26">
        <f t="shared" si="4"/>
        <v>125</v>
      </c>
      <c r="U79" s="36"/>
      <c r="V79" s="31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37" customFormat="1" ht="15" customHeight="1">
      <c r="A80" s="33"/>
      <c r="B80" s="17" t="s">
        <v>107</v>
      </c>
      <c r="C80" s="34"/>
      <c r="D80" s="124">
        <f>43+55</f>
        <v>98</v>
      </c>
      <c r="E80" s="124"/>
      <c r="F80" s="124">
        <v>0</v>
      </c>
      <c r="G80" s="124"/>
      <c r="H80" s="124">
        <v>0</v>
      </c>
      <c r="I80" s="124"/>
      <c r="J80" s="124">
        <v>0</v>
      </c>
      <c r="K80" s="124"/>
      <c r="L80" s="124">
        <v>0</v>
      </c>
      <c r="M80" s="124"/>
      <c r="N80" s="124">
        <v>15</v>
      </c>
      <c r="O80" s="124"/>
      <c r="P80" s="124">
        <v>0</v>
      </c>
      <c r="Q80" s="124"/>
      <c r="R80" s="124">
        <v>10</v>
      </c>
      <c r="S80" s="26"/>
      <c r="T80" s="26">
        <f t="shared" si="4"/>
        <v>123</v>
      </c>
      <c r="U80" s="36"/>
      <c r="V80" s="31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37" customFormat="1" ht="15">
      <c r="A81" s="33"/>
      <c r="B81" s="128" t="s">
        <v>28</v>
      </c>
      <c r="C81" s="44"/>
      <c r="D81" s="26"/>
      <c r="E81" s="26"/>
      <c r="F81" s="124"/>
      <c r="G81" s="26"/>
      <c r="H81" s="124"/>
      <c r="I81" s="26"/>
      <c r="J81" s="124"/>
      <c r="K81" s="26"/>
      <c r="L81" s="124"/>
      <c r="M81" s="26"/>
      <c r="N81" s="124"/>
      <c r="O81" s="26"/>
      <c r="P81" s="124"/>
      <c r="Q81" s="26"/>
      <c r="R81" s="124"/>
      <c r="S81" s="26"/>
      <c r="T81" s="26"/>
      <c r="U81" s="36"/>
      <c r="V81" s="31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37" customFormat="1" ht="15">
      <c r="A82" s="33"/>
      <c r="B82" s="17" t="s">
        <v>129</v>
      </c>
      <c r="C82" s="34"/>
      <c r="D82" s="124">
        <v>35</v>
      </c>
      <c r="E82" s="124"/>
      <c r="F82" s="124">
        <v>0</v>
      </c>
      <c r="G82" s="124"/>
      <c r="H82" s="124">
        <v>0</v>
      </c>
      <c r="I82" s="124"/>
      <c r="J82" s="124">
        <v>0</v>
      </c>
      <c r="K82" s="124"/>
      <c r="L82" s="124">
        <v>0</v>
      </c>
      <c r="M82" s="124"/>
      <c r="N82" s="124">
        <v>0</v>
      </c>
      <c r="O82" s="124"/>
      <c r="P82" s="124">
        <v>0</v>
      </c>
      <c r="Q82" s="124"/>
      <c r="R82" s="124">
        <v>0</v>
      </c>
      <c r="S82" s="26"/>
      <c r="T82" s="26">
        <f t="shared" si="4"/>
        <v>35</v>
      </c>
      <c r="U82" s="36"/>
      <c r="V82" s="31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37" customFormat="1" ht="15">
      <c r="A83" s="33"/>
      <c r="B83" s="17" t="s">
        <v>57</v>
      </c>
      <c r="C83" s="34"/>
      <c r="D83" s="124">
        <v>21</v>
      </c>
      <c r="E83" s="124"/>
      <c r="F83" s="124">
        <v>0</v>
      </c>
      <c r="G83" s="124"/>
      <c r="H83" s="124">
        <v>1</v>
      </c>
      <c r="I83" s="124"/>
      <c r="J83" s="124">
        <v>0</v>
      </c>
      <c r="K83" s="124"/>
      <c r="L83" s="124">
        <v>0</v>
      </c>
      <c r="M83" s="124"/>
      <c r="N83" s="124">
        <v>0</v>
      </c>
      <c r="O83" s="124"/>
      <c r="P83" s="124">
        <v>0</v>
      </c>
      <c r="Q83" s="124"/>
      <c r="R83" s="124">
        <v>0</v>
      </c>
      <c r="S83" s="26"/>
      <c r="T83" s="26">
        <f t="shared" si="4"/>
        <v>22</v>
      </c>
      <c r="U83" s="36"/>
      <c r="V83" s="31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37" customFormat="1" ht="15">
      <c r="A84" s="33"/>
      <c r="B84" s="92" t="s">
        <v>24</v>
      </c>
      <c r="C84" s="44"/>
      <c r="D84" s="53">
        <f>SUM(D68:D83)</f>
        <v>1210</v>
      </c>
      <c r="E84" s="100"/>
      <c r="F84" s="53">
        <f>SUM(F68:F83)</f>
        <v>1</v>
      </c>
      <c r="G84" s="100"/>
      <c r="H84" s="53">
        <f>SUM(H68:H83)</f>
        <v>8</v>
      </c>
      <c r="I84" s="100"/>
      <c r="J84" s="53">
        <f>SUM(J68:J83)</f>
        <v>1</v>
      </c>
      <c r="K84" s="100"/>
      <c r="L84" s="53">
        <f>SUM(L68:L83)</f>
        <v>1</v>
      </c>
      <c r="M84" s="100"/>
      <c r="N84" s="53">
        <f>SUM(N68:N83)</f>
        <v>292</v>
      </c>
      <c r="O84" s="100"/>
      <c r="P84" s="53">
        <f>SUM(P68:P83)</f>
        <v>0</v>
      </c>
      <c r="Q84" s="100"/>
      <c r="R84" s="53">
        <f>SUM(R68:R83)</f>
        <v>176</v>
      </c>
      <c r="S84" s="26"/>
      <c r="T84" s="53">
        <f>SUM(T68:T83)</f>
        <v>1689</v>
      </c>
      <c r="U84" s="36"/>
      <c r="V84" s="31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2" ht="15">
      <c r="A85" s="30"/>
      <c r="B85" s="44"/>
      <c r="C85" s="44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86" t="s">
        <v>4</v>
      </c>
      <c r="S85" s="38"/>
      <c r="T85" s="26">
        <f>T84-T86</f>
        <v>784</v>
      </c>
      <c r="U85" s="32"/>
      <c r="V85" s="14"/>
    </row>
    <row r="86" spans="1:22" ht="15">
      <c r="A86" s="30"/>
      <c r="B86" s="44"/>
      <c r="C86" s="44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86" t="s">
        <v>5</v>
      </c>
      <c r="S86" s="38"/>
      <c r="T86" s="135">
        <v>905</v>
      </c>
      <c r="U86" s="32"/>
      <c r="V86" s="14"/>
    </row>
    <row r="87" spans="1:253" s="64" customFormat="1" ht="15">
      <c r="A87" s="5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62"/>
      <c r="V87" s="60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</row>
    <row r="88" spans="1:22" ht="15.75">
      <c r="A88" s="30"/>
      <c r="B88" s="8" t="s">
        <v>9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2"/>
      <c r="V88" s="14"/>
    </row>
    <row r="89" spans="1:22" ht="15">
      <c r="A89" s="30"/>
      <c r="B89" s="125" t="s">
        <v>27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2"/>
      <c r="V89" s="14"/>
    </row>
    <row r="90" spans="1:253" s="37" customFormat="1" ht="15">
      <c r="A90" s="33"/>
      <c r="B90" s="17" t="s">
        <v>58</v>
      </c>
      <c r="C90" s="34"/>
      <c r="D90" s="124">
        <f>50+33</f>
        <v>83</v>
      </c>
      <c r="E90" s="124"/>
      <c r="F90" s="124">
        <v>0</v>
      </c>
      <c r="G90" s="124"/>
      <c r="H90" s="124">
        <v>0</v>
      </c>
      <c r="I90" s="124"/>
      <c r="J90" s="124">
        <v>0</v>
      </c>
      <c r="K90" s="124"/>
      <c r="L90" s="124">
        <v>0</v>
      </c>
      <c r="M90" s="124"/>
      <c r="N90" s="124">
        <v>32</v>
      </c>
      <c r="O90" s="124"/>
      <c r="P90" s="124">
        <v>1</v>
      </c>
      <c r="Q90" s="124"/>
      <c r="R90" s="124">
        <v>0</v>
      </c>
      <c r="S90" s="26"/>
      <c r="T90" s="26">
        <v>116</v>
      </c>
      <c r="U90" s="48"/>
      <c r="V90" s="31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37" customFormat="1" ht="15">
      <c r="A91" s="33"/>
      <c r="B91" s="17" t="s">
        <v>59</v>
      </c>
      <c r="C91" s="34"/>
      <c r="D91" s="124">
        <f>29+45</f>
        <v>74</v>
      </c>
      <c r="E91" s="124"/>
      <c r="F91" s="124">
        <v>0</v>
      </c>
      <c r="G91" s="124"/>
      <c r="H91" s="124">
        <v>0</v>
      </c>
      <c r="I91" s="124"/>
      <c r="J91" s="124">
        <v>0</v>
      </c>
      <c r="K91" s="124"/>
      <c r="L91" s="124">
        <v>0</v>
      </c>
      <c r="M91" s="124"/>
      <c r="N91" s="124">
        <v>40</v>
      </c>
      <c r="O91" s="124"/>
      <c r="P91" s="124">
        <v>0</v>
      </c>
      <c r="Q91" s="124"/>
      <c r="R91" s="124">
        <v>0</v>
      </c>
      <c r="S91" s="26"/>
      <c r="T91" s="26">
        <v>114</v>
      </c>
      <c r="U91" s="36"/>
      <c r="V91" s="31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37" customFormat="1" ht="15" customHeight="1">
      <c r="A92" s="33"/>
      <c r="B92" s="17" t="s">
        <v>103</v>
      </c>
      <c r="C92" s="34"/>
      <c r="D92" s="124">
        <v>76</v>
      </c>
      <c r="E92" s="124"/>
      <c r="F92" s="124">
        <v>3</v>
      </c>
      <c r="G92" s="124"/>
      <c r="H92" s="124">
        <v>2</v>
      </c>
      <c r="I92" s="124"/>
      <c r="J92" s="124">
        <v>0</v>
      </c>
      <c r="K92" s="124"/>
      <c r="L92" s="124">
        <v>2</v>
      </c>
      <c r="M92" s="124"/>
      <c r="N92" s="124">
        <v>33</v>
      </c>
      <c r="O92" s="124"/>
      <c r="P92" s="124">
        <v>1</v>
      </c>
      <c r="Q92" s="124"/>
      <c r="R92" s="124">
        <v>0</v>
      </c>
      <c r="S92" s="26"/>
      <c r="T92" s="26">
        <v>117</v>
      </c>
      <c r="U92" s="36"/>
      <c r="V92" s="31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37" customFormat="1" ht="15" customHeight="1">
      <c r="A93" s="33"/>
      <c r="B93" s="128" t="s">
        <v>28</v>
      </c>
      <c r="C93" s="3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26"/>
      <c r="T93" s="26"/>
      <c r="U93" s="36"/>
      <c r="V93" s="31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37" customFormat="1" ht="15">
      <c r="A94" s="33"/>
      <c r="B94" s="17" t="s">
        <v>60</v>
      </c>
      <c r="C94" s="34"/>
      <c r="D94" s="124">
        <v>4</v>
      </c>
      <c r="E94" s="124"/>
      <c r="F94" s="124">
        <v>0</v>
      </c>
      <c r="G94" s="124"/>
      <c r="H94" s="124">
        <v>0</v>
      </c>
      <c r="I94" s="124"/>
      <c r="J94" s="124">
        <v>0</v>
      </c>
      <c r="K94" s="124"/>
      <c r="L94" s="124">
        <v>0</v>
      </c>
      <c r="M94" s="124"/>
      <c r="N94" s="124">
        <v>0</v>
      </c>
      <c r="O94" s="124"/>
      <c r="P94" s="124">
        <v>0</v>
      </c>
      <c r="Q94" s="124"/>
      <c r="R94" s="124">
        <v>0</v>
      </c>
      <c r="S94" s="26"/>
      <c r="T94" s="26">
        <v>4</v>
      </c>
      <c r="U94" s="36"/>
      <c r="V94" s="31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37" customFormat="1" ht="15">
      <c r="A95" s="33"/>
      <c r="B95" s="17" t="s">
        <v>114</v>
      </c>
      <c r="C95" s="34"/>
      <c r="D95" s="115">
        <v>2</v>
      </c>
      <c r="E95" s="124"/>
      <c r="F95" s="115">
        <v>0</v>
      </c>
      <c r="G95" s="124"/>
      <c r="H95" s="115">
        <v>0</v>
      </c>
      <c r="I95" s="124"/>
      <c r="J95" s="115">
        <v>0</v>
      </c>
      <c r="K95" s="124"/>
      <c r="L95" s="115">
        <v>0</v>
      </c>
      <c r="M95" s="124"/>
      <c r="N95" s="115">
        <v>0</v>
      </c>
      <c r="O95" s="124"/>
      <c r="P95" s="115">
        <v>0</v>
      </c>
      <c r="Q95" s="124"/>
      <c r="R95" s="115">
        <v>0</v>
      </c>
      <c r="S95" s="26"/>
      <c r="T95" s="88">
        <v>2</v>
      </c>
      <c r="U95" s="36"/>
      <c r="V95" s="31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37" customFormat="1" ht="15">
      <c r="A96" s="33"/>
      <c r="B96" s="92" t="s">
        <v>24</v>
      </c>
      <c r="C96" s="44"/>
      <c r="D96" s="21">
        <f>SUM(D89:D95)</f>
        <v>239</v>
      </c>
      <c r="E96" s="21"/>
      <c r="F96" s="21">
        <f>SUM(F89:F95)</f>
        <v>3</v>
      </c>
      <c r="G96" s="21"/>
      <c r="H96" s="21">
        <f>SUM(H89:H95)</f>
        <v>2</v>
      </c>
      <c r="I96" s="21"/>
      <c r="J96" s="21">
        <f>SUM(J89:J95)</f>
        <v>0</v>
      </c>
      <c r="K96" s="21"/>
      <c r="L96" s="21">
        <f>SUM(L89:L95)</f>
        <v>2</v>
      </c>
      <c r="M96" s="21"/>
      <c r="N96" s="21">
        <f>SUM(N89:N95)</f>
        <v>105</v>
      </c>
      <c r="O96" s="21"/>
      <c r="P96" s="21">
        <f>SUM(P89:P95)</f>
        <v>2</v>
      </c>
      <c r="Q96" s="21"/>
      <c r="R96" s="21">
        <f>SUM(R88:R95)</f>
        <v>0</v>
      </c>
      <c r="S96" s="27"/>
      <c r="T96" s="21">
        <f>SUM(T90:T95)</f>
        <v>353</v>
      </c>
      <c r="U96" s="36"/>
      <c r="V96" s="31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2" ht="15">
      <c r="A97" s="30"/>
      <c r="B97" s="44"/>
      <c r="C97" s="4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86" t="s">
        <v>4</v>
      </c>
      <c r="S97" s="22"/>
      <c r="T97" s="27">
        <f>T96-T98</f>
        <v>187</v>
      </c>
      <c r="U97" s="32"/>
      <c r="V97" s="14"/>
    </row>
    <row r="98" spans="1:253" s="123" customFormat="1" ht="15">
      <c r="A98" s="30"/>
      <c r="B98" s="44"/>
      <c r="C98" s="4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86" t="s">
        <v>5</v>
      </c>
      <c r="S98" s="22"/>
      <c r="T98" s="27">
        <v>166</v>
      </c>
      <c r="U98" s="32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</row>
    <row r="99" spans="1:253" s="123" customFormat="1" ht="15.75" thickBot="1">
      <c r="A99" s="49"/>
      <c r="B99" s="89"/>
      <c r="C99" s="89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87"/>
      <c r="S99" s="82"/>
      <c r="T99" s="75"/>
      <c r="U99" s="80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</row>
    <row r="100" spans="1:253" s="123" customFormat="1" ht="18.75" thickTop="1">
      <c r="A100" s="14"/>
      <c r="B100" s="133" t="s">
        <v>132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</row>
    <row r="101" spans="1:22" ht="18">
      <c r="A101" s="14"/>
      <c r="B101" s="133" t="s">
        <v>133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81"/>
      <c r="V101" s="14"/>
    </row>
    <row r="102" spans="1:22" ht="15">
      <c r="A102" s="14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81"/>
      <c r="V102" s="14"/>
    </row>
    <row r="103" spans="1:22" ht="15">
      <c r="A103" s="14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81"/>
      <c r="V103" s="14"/>
    </row>
    <row r="104" spans="1:22" ht="15.75">
      <c r="A104" s="30"/>
      <c r="B104" s="8" t="s">
        <v>10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50"/>
      <c r="V104" s="14"/>
    </row>
    <row r="105" spans="1:22" ht="15">
      <c r="A105" s="30"/>
      <c r="B105" s="103" t="s">
        <v>27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50"/>
      <c r="V105" s="14"/>
    </row>
    <row r="106" spans="1:253" s="37" customFormat="1" ht="15">
      <c r="A106" s="33"/>
      <c r="B106" s="107" t="s">
        <v>122</v>
      </c>
      <c r="C106" s="84"/>
      <c r="D106" s="116">
        <f>47+81</f>
        <v>128</v>
      </c>
      <c r="E106" s="85"/>
      <c r="F106" s="116">
        <v>1</v>
      </c>
      <c r="G106" s="85"/>
      <c r="H106" s="116">
        <v>1</v>
      </c>
      <c r="I106" s="85"/>
      <c r="J106" s="116">
        <v>0</v>
      </c>
      <c r="K106" s="85"/>
      <c r="L106" s="116">
        <v>0</v>
      </c>
      <c r="M106" s="85"/>
      <c r="N106" s="116">
        <v>39</v>
      </c>
      <c r="O106" s="85"/>
      <c r="P106" s="116">
        <v>0</v>
      </c>
      <c r="Q106" s="85"/>
      <c r="R106" s="116">
        <v>36</v>
      </c>
      <c r="S106" s="26"/>
      <c r="T106" s="26">
        <f>SUM(D106:R106)</f>
        <v>205</v>
      </c>
      <c r="U106" s="51"/>
      <c r="V106" s="31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37" customFormat="1" ht="15">
      <c r="A107" s="33"/>
      <c r="B107" s="107" t="s">
        <v>61</v>
      </c>
      <c r="C107" s="84"/>
      <c r="D107" s="116">
        <v>118</v>
      </c>
      <c r="E107" s="85"/>
      <c r="F107" s="116">
        <v>0</v>
      </c>
      <c r="G107" s="85"/>
      <c r="H107" s="116">
        <v>1</v>
      </c>
      <c r="I107" s="85"/>
      <c r="J107" s="116">
        <v>1</v>
      </c>
      <c r="K107" s="85"/>
      <c r="L107" s="116">
        <v>0</v>
      </c>
      <c r="M107" s="85"/>
      <c r="N107" s="116">
        <v>38</v>
      </c>
      <c r="O107" s="85"/>
      <c r="P107" s="116">
        <v>2</v>
      </c>
      <c r="Q107" s="85"/>
      <c r="R107" s="116">
        <v>30</v>
      </c>
      <c r="S107" s="26"/>
      <c r="T107" s="26">
        <f>SUM(D107:R107)</f>
        <v>190</v>
      </c>
      <c r="U107" s="51"/>
      <c r="V107" s="31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37" customFormat="1" ht="15">
      <c r="A108" s="33"/>
      <c r="B108" s="107" t="s">
        <v>62</v>
      </c>
      <c r="C108" s="84"/>
      <c r="D108" s="116">
        <f>46+13</f>
        <v>59</v>
      </c>
      <c r="E108" s="85"/>
      <c r="F108" s="116">
        <v>4</v>
      </c>
      <c r="G108" s="85"/>
      <c r="H108" s="116">
        <v>1</v>
      </c>
      <c r="I108" s="85"/>
      <c r="J108" s="116">
        <v>2</v>
      </c>
      <c r="K108" s="85"/>
      <c r="L108" s="116">
        <v>1</v>
      </c>
      <c r="M108" s="85"/>
      <c r="N108" s="116">
        <v>49</v>
      </c>
      <c r="O108" s="85"/>
      <c r="P108" s="116">
        <v>0</v>
      </c>
      <c r="Q108" s="85"/>
      <c r="R108" s="116">
        <v>30</v>
      </c>
      <c r="S108" s="26"/>
      <c r="T108" s="26">
        <f>SUM(D108:R108)</f>
        <v>146</v>
      </c>
      <c r="U108" s="51"/>
      <c r="V108" s="31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37" customFormat="1" ht="18">
      <c r="A109" s="33"/>
      <c r="B109" s="109" t="s">
        <v>134</v>
      </c>
      <c r="C109" s="84"/>
      <c r="D109" s="116">
        <v>10</v>
      </c>
      <c r="E109" s="85"/>
      <c r="F109" s="116">
        <v>0</v>
      </c>
      <c r="G109" s="85"/>
      <c r="H109" s="116">
        <v>0</v>
      </c>
      <c r="I109" s="85"/>
      <c r="J109" s="116">
        <v>0</v>
      </c>
      <c r="K109" s="85"/>
      <c r="L109" s="116">
        <v>0</v>
      </c>
      <c r="M109" s="85"/>
      <c r="N109" s="116">
        <v>3</v>
      </c>
      <c r="O109" s="85"/>
      <c r="P109" s="116">
        <v>0</v>
      </c>
      <c r="Q109" s="85"/>
      <c r="R109" s="116">
        <v>7</v>
      </c>
      <c r="S109" s="26"/>
      <c r="T109" s="26">
        <f>SUM(D109:R109)</f>
        <v>20</v>
      </c>
      <c r="U109" s="51"/>
      <c r="V109" s="31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37" customFormat="1" ht="15">
      <c r="A110" s="33"/>
      <c r="B110" s="102" t="s">
        <v>28</v>
      </c>
      <c r="C110" s="84"/>
      <c r="D110" s="84"/>
      <c r="E110" s="85"/>
      <c r="F110" s="84"/>
      <c r="G110" s="85"/>
      <c r="H110" s="84"/>
      <c r="I110" s="85"/>
      <c r="J110" s="84"/>
      <c r="K110" s="85"/>
      <c r="L110" s="84"/>
      <c r="M110" s="85"/>
      <c r="N110" s="84"/>
      <c r="O110" s="85"/>
      <c r="P110" s="84"/>
      <c r="Q110" s="85"/>
      <c r="R110" s="84"/>
      <c r="S110" s="26"/>
      <c r="T110" s="26"/>
      <c r="U110" s="51"/>
      <c r="V110" s="31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37" customFormat="1" ht="15">
      <c r="A111" s="33"/>
      <c r="B111" s="108" t="s">
        <v>63</v>
      </c>
      <c r="C111" s="84"/>
      <c r="D111" s="116">
        <v>21</v>
      </c>
      <c r="E111" s="85"/>
      <c r="F111" s="116">
        <v>0</v>
      </c>
      <c r="G111" s="85"/>
      <c r="H111" s="116">
        <v>0</v>
      </c>
      <c r="I111" s="85"/>
      <c r="J111" s="116">
        <v>0</v>
      </c>
      <c r="K111" s="85"/>
      <c r="L111" s="116">
        <v>0</v>
      </c>
      <c r="M111" s="85"/>
      <c r="N111" s="116">
        <v>2</v>
      </c>
      <c r="O111" s="85"/>
      <c r="P111" s="116">
        <v>0</v>
      </c>
      <c r="Q111" s="85"/>
      <c r="R111" s="116">
        <v>2</v>
      </c>
      <c r="S111" s="26"/>
      <c r="T111" s="26">
        <f>SUM(D111:R111)</f>
        <v>25</v>
      </c>
      <c r="U111" s="51"/>
      <c r="V111" s="31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37" customFormat="1" ht="15">
      <c r="A112" s="33"/>
      <c r="B112" s="92" t="s">
        <v>24</v>
      </c>
      <c r="C112" s="44"/>
      <c r="D112" s="58">
        <f>SUM(D106:D111)</f>
        <v>336</v>
      </c>
      <c r="E112" s="21"/>
      <c r="F112" s="58">
        <f>SUM(F106:F111)</f>
        <v>5</v>
      </c>
      <c r="G112" s="21"/>
      <c r="H112" s="58">
        <f>SUM(H106:H111)</f>
        <v>3</v>
      </c>
      <c r="I112" s="21"/>
      <c r="J112" s="58">
        <f>SUM(J106:J111)</f>
        <v>3</v>
      </c>
      <c r="K112" s="21"/>
      <c r="L112" s="58">
        <f>SUM(L106:L111)</f>
        <v>1</v>
      </c>
      <c r="M112" s="21"/>
      <c r="N112" s="58">
        <f>SUM(N106:N111)</f>
        <v>131</v>
      </c>
      <c r="O112" s="21"/>
      <c r="P112" s="58">
        <f>SUM(P106:P111)</f>
        <v>2</v>
      </c>
      <c r="Q112" s="21"/>
      <c r="R112" s="58">
        <f>SUM(R106:R111)</f>
        <v>105</v>
      </c>
      <c r="S112" s="27"/>
      <c r="T112" s="58">
        <f>SUM(T106:T111)</f>
        <v>586</v>
      </c>
      <c r="U112" s="51"/>
      <c r="V112" s="31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2" ht="15">
      <c r="A113" s="30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86" t="s">
        <v>4</v>
      </c>
      <c r="S113" s="22"/>
      <c r="T113" s="22">
        <f>T112-T114</f>
        <v>252</v>
      </c>
      <c r="U113" s="50"/>
      <c r="V113" s="14"/>
    </row>
    <row r="114" spans="1:22" ht="1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86" t="s">
        <v>5</v>
      </c>
      <c r="S114" s="22"/>
      <c r="T114" s="22">
        <v>334</v>
      </c>
      <c r="U114" s="50"/>
      <c r="V114" s="14"/>
    </row>
    <row r="115" spans="1:253" s="64" customFormat="1" ht="15" customHeight="1">
      <c r="A115" s="5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22"/>
      <c r="T115" s="22"/>
      <c r="U115" s="66"/>
      <c r="V115" s="60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</row>
    <row r="116" spans="1:22" ht="15.75">
      <c r="A116" s="30"/>
      <c r="B116" s="8" t="s">
        <v>11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41"/>
      <c r="V116" s="14"/>
    </row>
    <row r="117" spans="1:22" ht="15">
      <c r="A117" s="30"/>
      <c r="B117" s="103" t="s">
        <v>27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41"/>
      <c r="V117" s="14"/>
    </row>
    <row r="118" spans="1:22" ht="15">
      <c r="A118" s="30"/>
      <c r="B118" s="107" t="s">
        <v>64</v>
      </c>
      <c r="C118" s="84"/>
      <c r="D118" s="116">
        <f>28+101</f>
        <v>129</v>
      </c>
      <c r="E118" s="85"/>
      <c r="F118" s="116">
        <v>0</v>
      </c>
      <c r="G118" s="85"/>
      <c r="H118" s="116">
        <v>0</v>
      </c>
      <c r="I118" s="85"/>
      <c r="J118" s="116">
        <v>0</v>
      </c>
      <c r="K118" s="85"/>
      <c r="L118" s="116">
        <v>0</v>
      </c>
      <c r="M118" s="85"/>
      <c r="N118" s="116">
        <f>42+11</f>
        <v>53</v>
      </c>
      <c r="O118" s="85"/>
      <c r="P118" s="116">
        <v>0</v>
      </c>
      <c r="Q118" s="85"/>
      <c r="R118" s="116">
        <v>1</v>
      </c>
      <c r="S118" s="26"/>
      <c r="T118" s="26">
        <f>SUM(D118:R118)</f>
        <v>183</v>
      </c>
      <c r="U118" s="41"/>
      <c r="V118" s="14"/>
    </row>
    <row r="119" spans="1:253" s="37" customFormat="1" ht="18">
      <c r="A119" s="33"/>
      <c r="B119" s="107" t="s">
        <v>135</v>
      </c>
      <c r="C119" s="84"/>
      <c r="D119" s="116">
        <f>7+7</f>
        <v>14</v>
      </c>
      <c r="E119" s="85"/>
      <c r="F119" s="116">
        <v>0</v>
      </c>
      <c r="G119" s="85"/>
      <c r="H119" s="116">
        <v>0</v>
      </c>
      <c r="I119" s="85"/>
      <c r="J119" s="116">
        <v>0</v>
      </c>
      <c r="K119" s="85"/>
      <c r="L119" s="116">
        <v>0</v>
      </c>
      <c r="M119" s="85"/>
      <c r="N119" s="116">
        <v>11</v>
      </c>
      <c r="O119" s="85"/>
      <c r="P119" s="116">
        <v>2</v>
      </c>
      <c r="Q119" s="85"/>
      <c r="R119" s="116">
        <v>0</v>
      </c>
      <c r="S119" s="26"/>
      <c r="T119" s="26">
        <f>SUM(D119:R119)</f>
        <v>27</v>
      </c>
      <c r="U119" s="52"/>
      <c r="V119" s="31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</row>
    <row r="120" spans="1:253" s="37" customFormat="1" ht="15">
      <c r="A120" s="33"/>
      <c r="B120" s="107" t="s">
        <v>66</v>
      </c>
      <c r="C120" s="84"/>
      <c r="D120" s="116">
        <v>90</v>
      </c>
      <c r="E120" s="85"/>
      <c r="F120" s="117">
        <v>0</v>
      </c>
      <c r="G120" s="85"/>
      <c r="H120" s="116">
        <v>0</v>
      </c>
      <c r="I120" s="85"/>
      <c r="J120" s="116">
        <v>0</v>
      </c>
      <c r="K120" s="85"/>
      <c r="L120" s="116">
        <v>0</v>
      </c>
      <c r="M120" s="85"/>
      <c r="N120" s="116">
        <f>33+15</f>
        <v>48</v>
      </c>
      <c r="O120" s="85"/>
      <c r="P120" s="116">
        <v>4</v>
      </c>
      <c r="Q120" s="85"/>
      <c r="R120" s="116">
        <v>0</v>
      </c>
      <c r="S120" s="26"/>
      <c r="T120" s="26">
        <f>SUM(D120:R120)</f>
        <v>142</v>
      </c>
      <c r="U120" s="52"/>
      <c r="V120" s="31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s="37" customFormat="1" ht="15">
      <c r="A121" s="33"/>
      <c r="B121" s="107" t="s">
        <v>65</v>
      </c>
      <c r="C121" s="84"/>
      <c r="D121" s="117">
        <f>12+94</f>
        <v>106</v>
      </c>
      <c r="E121" s="85"/>
      <c r="F121" s="116">
        <v>0</v>
      </c>
      <c r="G121" s="85"/>
      <c r="H121" s="116">
        <v>1</v>
      </c>
      <c r="I121" s="85"/>
      <c r="J121" s="116">
        <v>0</v>
      </c>
      <c r="K121" s="85"/>
      <c r="L121" s="116">
        <v>0</v>
      </c>
      <c r="M121" s="85"/>
      <c r="N121" s="116">
        <f>35+8</f>
        <v>43</v>
      </c>
      <c r="O121" s="85"/>
      <c r="P121" s="116">
        <v>1</v>
      </c>
      <c r="Q121" s="85"/>
      <c r="R121" s="116">
        <v>1</v>
      </c>
      <c r="S121" s="26"/>
      <c r="T121" s="26">
        <f>SUM(D121:R121)</f>
        <v>152</v>
      </c>
      <c r="U121" s="52"/>
      <c r="V121" s="31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s="37" customFormat="1" ht="15">
      <c r="A122" s="33"/>
      <c r="B122" s="103" t="s">
        <v>28</v>
      </c>
      <c r="C122" s="84"/>
      <c r="D122" s="116"/>
      <c r="E122" s="85"/>
      <c r="F122" s="116"/>
      <c r="G122" s="85"/>
      <c r="H122" s="116"/>
      <c r="I122" s="85"/>
      <c r="J122" s="116"/>
      <c r="K122" s="85"/>
      <c r="L122" s="116"/>
      <c r="M122" s="85"/>
      <c r="N122" s="116"/>
      <c r="O122" s="85"/>
      <c r="P122" s="116"/>
      <c r="Q122" s="85"/>
      <c r="R122" s="116"/>
      <c r="S122" s="26"/>
      <c r="T122" s="26"/>
      <c r="U122" s="52"/>
      <c r="V122" s="31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37" customFormat="1" ht="15">
      <c r="A123" s="33"/>
      <c r="B123" s="83" t="s">
        <v>108</v>
      </c>
      <c r="C123" s="84"/>
      <c r="D123" s="116">
        <v>15</v>
      </c>
      <c r="E123" s="85"/>
      <c r="F123" s="116">
        <v>0</v>
      </c>
      <c r="G123" s="85"/>
      <c r="H123" s="116">
        <v>0</v>
      </c>
      <c r="I123" s="85"/>
      <c r="J123" s="116">
        <v>0</v>
      </c>
      <c r="K123" s="85"/>
      <c r="L123" s="116">
        <v>0</v>
      </c>
      <c r="M123" s="85"/>
      <c r="N123" s="116">
        <v>0</v>
      </c>
      <c r="O123" s="85"/>
      <c r="P123" s="116">
        <v>0</v>
      </c>
      <c r="Q123" s="85"/>
      <c r="R123" s="116">
        <v>0</v>
      </c>
      <c r="S123" s="26"/>
      <c r="T123" s="26">
        <f>SUM(D123:R123)</f>
        <v>15</v>
      </c>
      <c r="U123" s="52"/>
      <c r="V123" s="31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s="37" customFormat="1" ht="15">
      <c r="A124" s="33"/>
      <c r="B124" s="83" t="s">
        <v>67</v>
      </c>
      <c r="C124" s="84"/>
      <c r="D124" s="116">
        <v>0</v>
      </c>
      <c r="E124" s="85"/>
      <c r="F124" s="116">
        <v>0</v>
      </c>
      <c r="G124" s="85"/>
      <c r="H124" s="116">
        <v>0</v>
      </c>
      <c r="I124" s="85"/>
      <c r="J124" s="116">
        <v>0</v>
      </c>
      <c r="K124" s="85"/>
      <c r="L124" s="116">
        <v>0</v>
      </c>
      <c r="M124" s="85"/>
      <c r="N124" s="116">
        <v>0</v>
      </c>
      <c r="O124" s="85"/>
      <c r="P124" s="116">
        <v>0</v>
      </c>
      <c r="Q124" s="85"/>
      <c r="R124" s="116">
        <v>1</v>
      </c>
      <c r="S124" s="26"/>
      <c r="T124" s="26">
        <f>SUM(D124:R124)</f>
        <v>1</v>
      </c>
      <c r="U124" s="52"/>
      <c r="V124" s="31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s="37" customFormat="1" ht="15">
      <c r="A125" s="33"/>
      <c r="B125" s="107" t="s">
        <v>120</v>
      </c>
      <c r="C125" s="84"/>
      <c r="D125" s="116">
        <v>0</v>
      </c>
      <c r="E125" s="85"/>
      <c r="F125" s="116">
        <v>0</v>
      </c>
      <c r="G125" s="85"/>
      <c r="H125" s="116">
        <v>0</v>
      </c>
      <c r="I125" s="85"/>
      <c r="J125" s="116">
        <v>0</v>
      </c>
      <c r="K125" s="85"/>
      <c r="L125" s="116">
        <v>0</v>
      </c>
      <c r="M125" s="85"/>
      <c r="N125" s="116">
        <v>0</v>
      </c>
      <c r="O125" s="85"/>
      <c r="P125" s="116">
        <v>0</v>
      </c>
      <c r="Q125" s="85"/>
      <c r="R125" s="116">
        <v>3</v>
      </c>
      <c r="S125" s="26"/>
      <c r="T125" s="26">
        <f>SUM(D125:R125)</f>
        <v>3</v>
      </c>
      <c r="U125" s="52"/>
      <c r="V125" s="31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</row>
    <row r="126" spans="1:253" s="37" customFormat="1" ht="15">
      <c r="A126" s="33"/>
      <c r="B126" s="92" t="s">
        <v>24</v>
      </c>
      <c r="C126" s="44"/>
      <c r="D126" s="53">
        <f>SUM(D118:D125)</f>
        <v>354</v>
      </c>
      <c r="E126" s="100"/>
      <c r="F126" s="53">
        <f>SUM(F118:F125)</f>
        <v>0</v>
      </c>
      <c r="G126" s="100"/>
      <c r="H126" s="53">
        <f>SUM(H118:H125)</f>
        <v>1</v>
      </c>
      <c r="I126" s="100"/>
      <c r="J126" s="53">
        <f>SUM(J118:J125)</f>
        <v>0</v>
      </c>
      <c r="K126" s="100"/>
      <c r="L126" s="53">
        <f>SUM(L118:L125)</f>
        <v>0</v>
      </c>
      <c r="M126" s="100"/>
      <c r="N126" s="53">
        <f>SUM(N118:N125)</f>
        <v>155</v>
      </c>
      <c r="O126" s="100"/>
      <c r="P126" s="53">
        <f>SUM(P118:P125)</f>
        <v>7</v>
      </c>
      <c r="Q126" s="100"/>
      <c r="R126" s="53">
        <f>SUM(R118:R125)</f>
        <v>6</v>
      </c>
      <c r="S126" s="26"/>
      <c r="T126" s="53">
        <f>SUM(T118:T125)</f>
        <v>523</v>
      </c>
      <c r="U126" s="36"/>
      <c r="V126" s="31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</row>
    <row r="127" spans="1:22" ht="15">
      <c r="A127" s="30"/>
      <c r="C127" s="44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86" t="s">
        <v>4</v>
      </c>
      <c r="S127" s="22"/>
      <c r="T127" s="22">
        <f>T126-T128</f>
        <v>269</v>
      </c>
      <c r="U127" s="32"/>
      <c r="V127" s="14"/>
    </row>
    <row r="128" spans="1:22" ht="15">
      <c r="A128" s="30"/>
      <c r="B128" s="31"/>
      <c r="C128" s="3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86" t="s">
        <v>5</v>
      </c>
      <c r="S128" s="22"/>
      <c r="T128" s="85">
        <v>254</v>
      </c>
      <c r="U128" s="40"/>
      <c r="V128" s="14"/>
    </row>
    <row r="129" spans="1:253" s="64" customFormat="1" ht="6" customHeight="1">
      <c r="A129" s="5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5"/>
      <c r="V129" s="60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</row>
    <row r="130" spans="1:22" ht="15.75">
      <c r="A130" s="30"/>
      <c r="B130" s="8" t="s">
        <v>12</v>
      </c>
      <c r="C130" s="31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2"/>
      <c r="V130" s="14"/>
    </row>
    <row r="131" spans="1:22" ht="15">
      <c r="A131" s="30"/>
      <c r="B131" s="103" t="s">
        <v>27</v>
      </c>
      <c r="C131" s="31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2"/>
      <c r="V131" s="14"/>
    </row>
    <row r="132" spans="1:253" s="37" customFormat="1" ht="15" customHeight="1">
      <c r="A132" s="33"/>
      <c r="B132" s="107" t="s">
        <v>102</v>
      </c>
      <c r="C132" s="84"/>
      <c r="D132" s="85">
        <v>52</v>
      </c>
      <c r="E132" s="85"/>
      <c r="F132" s="85">
        <v>1</v>
      </c>
      <c r="G132" s="85"/>
      <c r="H132" s="85">
        <v>0</v>
      </c>
      <c r="I132" s="85"/>
      <c r="J132" s="85">
        <v>0</v>
      </c>
      <c r="K132" s="85"/>
      <c r="L132" s="85">
        <v>0</v>
      </c>
      <c r="M132" s="85"/>
      <c r="N132" s="85">
        <v>77</v>
      </c>
      <c r="O132" s="85"/>
      <c r="P132" s="85">
        <v>0</v>
      </c>
      <c r="Q132" s="85"/>
      <c r="R132" s="85">
        <v>25</v>
      </c>
      <c r="S132" s="26"/>
      <c r="T132" s="26">
        <v>155</v>
      </c>
      <c r="U132" s="36"/>
      <c r="V132" s="31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s="37" customFormat="1" ht="18">
      <c r="A133" s="33"/>
      <c r="B133" s="107" t="s">
        <v>136</v>
      </c>
      <c r="C133" s="84"/>
      <c r="D133" s="85">
        <v>22</v>
      </c>
      <c r="E133" s="85"/>
      <c r="F133" s="85">
        <v>3</v>
      </c>
      <c r="G133" s="85"/>
      <c r="H133" s="85">
        <v>2</v>
      </c>
      <c r="I133" s="85"/>
      <c r="J133" s="85">
        <v>0</v>
      </c>
      <c r="K133" s="85"/>
      <c r="L133" s="85">
        <v>0</v>
      </c>
      <c r="M133" s="85"/>
      <c r="N133" s="85">
        <v>21</v>
      </c>
      <c r="O133" s="85"/>
      <c r="P133" s="85">
        <v>0</v>
      </c>
      <c r="Q133" s="85"/>
      <c r="R133" s="85">
        <v>17</v>
      </c>
      <c r="S133" s="26"/>
      <c r="T133" s="26">
        <v>65</v>
      </c>
      <c r="U133" s="36"/>
      <c r="V133" s="31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37" customFormat="1" ht="15">
      <c r="A134" s="33"/>
      <c r="B134" s="107" t="s">
        <v>69</v>
      </c>
      <c r="C134" s="84"/>
      <c r="D134" s="85">
        <v>43</v>
      </c>
      <c r="E134" s="85"/>
      <c r="F134" s="85">
        <v>4</v>
      </c>
      <c r="G134" s="85"/>
      <c r="H134" s="85">
        <v>5</v>
      </c>
      <c r="I134" s="85"/>
      <c r="J134" s="85">
        <v>0</v>
      </c>
      <c r="K134" s="85"/>
      <c r="L134" s="85">
        <v>0</v>
      </c>
      <c r="M134" s="85"/>
      <c r="N134" s="85">
        <v>64</v>
      </c>
      <c r="O134" s="85"/>
      <c r="P134" s="85">
        <v>0</v>
      </c>
      <c r="Q134" s="85"/>
      <c r="R134" s="85">
        <v>40</v>
      </c>
      <c r="S134" s="26"/>
      <c r="T134" s="26">
        <v>156</v>
      </c>
      <c r="U134" s="36"/>
      <c r="V134" s="31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1:253" s="37" customFormat="1" ht="18">
      <c r="A135" s="33"/>
      <c r="B135" s="109" t="s">
        <v>137</v>
      </c>
      <c r="C135" s="84"/>
      <c r="D135" s="85">
        <v>27</v>
      </c>
      <c r="E135" s="85"/>
      <c r="F135" s="85">
        <v>0</v>
      </c>
      <c r="G135" s="85"/>
      <c r="H135" s="85">
        <v>0</v>
      </c>
      <c r="I135" s="85"/>
      <c r="J135" s="85">
        <v>0</v>
      </c>
      <c r="K135" s="85"/>
      <c r="L135" s="85">
        <v>0</v>
      </c>
      <c r="M135" s="85"/>
      <c r="N135" s="85">
        <v>52</v>
      </c>
      <c r="O135" s="85"/>
      <c r="P135" s="85">
        <v>0</v>
      </c>
      <c r="Q135" s="85"/>
      <c r="R135" s="85">
        <v>11</v>
      </c>
      <c r="S135" s="26"/>
      <c r="T135" s="26">
        <v>90</v>
      </c>
      <c r="U135" s="36"/>
      <c r="V135" s="31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1" ht="18">
      <c r="A136" s="33"/>
      <c r="B136" s="109" t="s">
        <v>138</v>
      </c>
      <c r="D136" s="114">
        <v>30</v>
      </c>
      <c r="E136" s="114"/>
      <c r="F136" s="114">
        <v>0</v>
      </c>
      <c r="G136" s="114"/>
      <c r="H136" s="114">
        <v>0</v>
      </c>
      <c r="I136" s="114"/>
      <c r="J136" s="114">
        <v>0</v>
      </c>
      <c r="K136" s="114"/>
      <c r="L136" s="114">
        <v>0</v>
      </c>
      <c r="M136" s="114"/>
      <c r="N136" s="114">
        <v>46</v>
      </c>
      <c r="O136" s="114"/>
      <c r="P136" s="114">
        <v>0</v>
      </c>
      <c r="Q136" s="114"/>
      <c r="R136" s="114">
        <v>13</v>
      </c>
      <c r="S136" s="114"/>
      <c r="T136" s="114">
        <v>89</v>
      </c>
      <c r="U136" s="36"/>
    </row>
    <row r="137" spans="1:253" s="37" customFormat="1" ht="15" customHeight="1">
      <c r="A137" s="33"/>
      <c r="B137" s="102" t="s">
        <v>28</v>
      </c>
      <c r="C137" s="84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26"/>
      <c r="T137" s="26"/>
      <c r="U137" s="36"/>
      <c r="V137" s="31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s="37" customFormat="1" ht="15">
      <c r="A138" s="33"/>
      <c r="B138" s="107" t="s">
        <v>116</v>
      </c>
      <c r="C138" s="107"/>
      <c r="D138" s="85">
        <v>0</v>
      </c>
      <c r="E138" s="85"/>
      <c r="F138" s="85">
        <v>0</v>
      </c>
      <c r="G138" s="85"/>
      <c r="H138" s="85">
        <v>2</v>
      </c>
      <c r="I138" s="85"/>
      <c r="J138" s="85">
        <v>0</v>
      </c>
      <c r="K138" s="85"/>
      <c r="L138" s="85">
        <v>0</v>
      </c>
      <c r="M138" s="85"/>
      <c r="N138" s="85">
        <v>0</v>
      </c>
      <c r="O138" s="85"/>
      <c r="P138" s="85">
        <v>0</v>
      </c>
      <c r="Q138" s="85"/>
      <c r="R138" s="85">
        <v>0</v>
      </c>
      <c r="S138" s="26"/>
      <c r="T138" s="26">
        <v>2</v>
      </c>
      <c r="U138" s="36"/>
      <c r="V138" s="31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s="37" customFormat="1" ht="15">
      <c r="A139" s="33"/>
      <c r="B139" s="94" t="s">
        <v>24</v>
      </c>
      <c r="C139" s="44"/>
      <c r="D139" s="53">
        <f>SUM(D132:D138)</f>
        <v>174</v>
      </c>
      <c r="E139" s="100"/>
      <c r="F139" s="53">
        <f>SUM(F132:F138)</f>
        <v>8</v>
      </c>
      <c r="G139" s="100"/>
      <c r="H139" s="53">
        <f>SUM(H132:H138)</f>
        <v>9</v>
      </c>
      <c r="I139" s="100"/>
      <c r="J139" s="53">
        <f>SUM(J132:J138)</f>
        <v>0</v>
      </c>
      <c r="K139" s="100"/>
      <c r="L139" s="53">
        <f>SUM(L132:L138)</f>
        <v>0</v>
      </c>
      <c r="M139" s="100"/>
      <c r="N139" s="53">
        <f>SUM(N132:N138)</f>
        <v>260</v>
      </c>
      <c r="O139" s="100"/>
      <c r="P139" s="53">
        <f>SUM(P132:P138)</f>
        <v>0</v>
      </c>
      <c r="Q139" s="100"/>
      <c r="R139" s="53">
        <f>SUM(R132:R138)</f>
        <v>106</v>
      </c>
      <c r="S139" s="26"/>
      <c r="T139" s="53">
        <f>SUM(T132:T138)</f>
        <v>557</v>
      </c>
      <c r="U139" s="48"/>
      <c r="V139" s="31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2" ht="15">
      <c r="A140" s="30"/>
      <c r="B140" s="31"/>
      <c r="C140" s="31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86" t="s">
        <v>4</v>
      </c>
      <c r="S140" s="27"/>
      <c r="T140" s="27">
        <f>T139-T141</f>
        <v>292</v>
      </c>
      <c r="U140" s="41"/>
      <c r="V140" s="14"/>
    </row>
    <row r="141" spans="1:22" ht="15">
      <c r="A141" s="30"/>
      <c r="B141" s="31"/>
      <c r="C141" s="31"/>
      <c r="D141" s="27"/>
      <c r="E141" s="27"/>
      <c r="F141" s="27"/>
      <c r="G141" s="27"/>
      <c r="H141" s="27" t="s">
        <v>3</v>
      </c>
      <c r="I141" s="27"/>
      <c r="J141" s="27"/>
      <c r="K141" s="27"/>
      <c r="L141" s="27"/>
      <c r="M141" s="27"/>
      <c r="N141" s="27"/>
      <c r="O141" s="27"/>
      <c r="P141" s="27"/>
      <c r="Q141" s="27"/>
      <c r="R141" s="86" t="s">
        <v>5</v>
      </c>
      <c r="S141" s="27"/>
      <c r="T141" s="27">
        <v>265</v>
      </c>
      <c r="U141" s="41"/>
      <c r="V141" s="14"/>
    </row>
    <row r="142" spans="1:253" s="64" customFormat="1" ht="6" customHeight="1">
      <c r="A142" s="59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8"/>
      <c r="N142" s="38"/>
      <c r="O142" s="38"/>
      <c r="P142" s="38"/>
      <c r="Q142" s="38"/>
      <c r="R142" s="38"/>
      <c r="S142" s="38"/>
      <c r="T142" s="38"/>
      <c r="U142" s="65"/>
      <c r="V142" s="60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</row>
    <row r="143" spans="1:22" ht="15.75">
      <c r="A143" s="30"/>
      <c r="B143" s="23" t="s">
        <v>13</v>
      </c>
      <c r="C143" s="38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2"/>
      <c r="V143" s="14"/>
    </row>
    <row r="144" spans="1:22" ht="15">
      <c r="A144" s="30"/>
      <c r="B144" s="103" t="s">
        <v>27</v>
      </c>
      <c r="C144" s="38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2"/>
      <c r="V144" s="14"/>
    </row>
    <row r="145" spans="1:253" s="37" customFormat="1" ht="15" customHeight="1">
      <c r="A145" s="33"/>
      <c r="B145" s="107" t="s">
        <v>110</v>
      </c>
      <c r="C145" s="84"/>
      <c r="D145" s="116">
        <f>116+7</f>
        <v>123</v>
      </c>
      <c r="E145" s="85"/>
      <c r="F145" s="116">
        <v>29</v>
      </c>
      <c r="G145" s="85"/>
      <c r="H145" s="116">
        <f>60+47</f>
        <v>107</v>
      </c>
      <c r="I145" s="85"/>
      <c r="J145" s="116">
        <v>1</v>
      </c>
      <c r="K145" s="85"/>
      <c r="L145" s="116">
        <v>0</v>
      </c>
      <c r="M145" s="85"/>
      <c r="N145" s="116">
        <v>46</v>
      </c>
      <c r="O145" s="85"/>
      <c r="P145" s="116">
        <v>1</v>
      </c>
      <c r="Q145" s="85"/>
      <c r="R145" s="116">
        <v>2</v>
      </c>
      <c r="S145" s="26"/>
      <c r="T145" s="26">
        <f>SUM(D145:R145)</f>
        <v>309</v>
      </c>
      <c r="U145" s="36"/>
      <c r="V145" s="31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253" s="37" customFormat="1" ht="15">
      <c r="A146" s="33"/>
      <c r="B146" s="107" t="s">
        <v>94</v>
      </c>
      <c r="C146" s="84"/>
      <c r="D146" s="116">
        <f>132+42</f>
        <v>174</v>
      </c>
      <c r="E146" s="85"/>
      <c r="F146" s="116">
        <v>8</v>
      </c>
      <c r="G146" s="85"/>
      <c r="H146" s="116">
        <v>3</v>
      </c>
      <c r="I146" s="85"/>
      <c r="J146" s="116">
        <v>1</v>
      </c>
      <c r="K146" s="85"/>
      <c r="L146" s="116">
        <v>0</v>
      </c>
      <c r="M146" s="85"/>
      <c r="N146" s="116">
        <v>7</v>
      </c>
      <c r="O146" s="85"/>
      <c r="P146" s="116">
        <v>0</v>
      </c>
      <c r="Q146" s="85"/>
      <c r="R146" s="116">
        <v>39</v>
      </c>
      <c r="S146" s="26"/>
      <c r="T146" s="26">
        <f>SUM(D146:R146)</f>
        <v>232</v>
      </c>
      <c r="U146" s="36"/>
      <c r="V146" s="31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1:253" s="37" customFormat="1" ht="15">
      <c r="A147" s="33"/>
      <c r="B147" s="107" t="s">
        <v>111</v>
      </c>
      <c r="C147" s="84"/>
      <c r="D147" s="116">
        <f>48+53</f>
        <v>101</v>
      </c>
      <c r="E147" s="85"/>
      <c r="F147" s="116">
        <v>0</v>
      </c>
      <c r="G147" s="85"/>
      <c r="H147" s="116">
        <v>0</v>
      </c>
      <c r="I147" s="85"/>
      <c r="J147" s="116">
        <v>0</v>
      </c>
      <c r="K147" s="85"/>
      <c r="L147" s="116">
        <v>1</v>
      </c>
      <c r="M147" s="85"/>
      <c r="N147" s="116">
        <v>10</v>
      </c>
      <c r="O147" s="85"/>
      <c r="P147" s="116">
        <v>0</v>
      </c>
      <c r="Q147" s="85"/>
      <c r="R147" s="116">
        <v>58</v>
      </c>
      <c r="S147" s="26"/>
      <c r="T147" s="26">
        <f>SUM(D147:R147)</f>
        <v>170</v>
      </c>
      <c r="U147" s="36"/>
      <c r="V147" s="31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s="37" customFormat="1" ht="15">
      <c r="A148" s="33"/>
      <c r="B148" s="92" t="s">
        <v>24</v>
      </c>
      <c r="C148" s="44"/>
      <c r="D148" s="53">
        <f>SUM(D145:D147)</f>
        <v>398</v>
      </c>
      <c r="E148" s="100"/>
      <c r="F148" s="53">
        <f>SUM(F145:F147)</f>
        <v>37</v>
      </c>
      <c r="G148" s="100"/>
      <c r="H148" s="53">
        <f>SUM(H145:H147)</f>
        <v>110</v>
      </c>
      <c r="I148" s="100"/>
      <c r="J148" s="53">
        <f>SUM(J145:J147)</f>
        <v>2</v>
      </c>
      <c r="K148" s="100"/>
      <c r="L148" s="53">
        <f>SUM(L145:L147)</f>
        <v>1</v>
      </c>
      <c r="M148" s="100"/>
      <c r="N148" s="53">
        <f>SUM(N145:N147)</f>
        <v>63</v>
      </c>
      <c r="O148" s="100"/>
      <c r="P148" s="53">
        <f>SUM(P145:P147)</f>
        <v>1</v>
      </c>
      <c r="Q148" s="100"/>
      <c r="R148" s="53">
        <f>SUM(R145:R147)</f>
        <v>99</v>
      </c>
      <c r="S148" s="26"/>
      <c r="T148" s="53">
        <f>SUM(T145:T147)</f>
        <v>711</v>
      </c>
      <c r="U148" s="48"/>
      <c r="V148" s="31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2" ht="15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86" t="s">
        <v>4</v>
      </c>
      <c r="S149" s="22"/>
      <c r="T149" s="22">
        <f>T148-T150</f>
        <v>398</v>
      </c>
      <c r="U149" s="41"/>
      <c r="V149" s="14"/>
    </row>
    <row r="150" spans="1:22" ht="15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86" t="s">
        <v>5</v>
      </c>
      <c r="S150" s="22"/>
      <c r="T150" s="22">
        <v>313</v>
      </c>
      <c r="U150" s="41"/>
      <c r="V150" s="14"/>
    </row>
    <row r="151" spans="1:253" s="64" customFormat="1" ht="6" customHeight="1">
      <c r="A151" s="59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2"/>
      <c r="V151" s="60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</row>
    <row r="152" spans="1:22" ht="15.75">
      <c r="A152" s="30"/>
      <c r="B152" s="8" t="s">
        <v>14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2"/>
      <c r="V152" s="14"/>
    </row>
    <row r="153" spans="1:22" ht="15">
      <c r="A153" s="30"/>
      <c r="B153" s="103" t="s">
        <v>27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2"/>
      <c r="V153" s="14"/>
    </row>
    <row r="154" spans="1:253" s="37" customFormat="1" ht="15">
      <c r="A154" s="33"/>
      <c r="B154" s="18" t="s">
        <v>70</v>
      </c>
      <c r="C154" s="44"/>
      <c r="D154" s="85">
        <v>34</v>
      </c>
      <c r="E154" s="26"/>
      <c r="F154" s="85">
        <v>0</v>
      </c>
      <c r="G154" s="26"/>
      <c r="H154" s="85">
        <v>1</v>
      </c>
      <c r="I154" s="26"/>
      <c r="J154" s="85">
        <v>0</v>
      </c>
      <c r="K154" s="26"/>
      <c r="L154" s="85">
        <v>0</v>
      </c>
      <c r="M154" s="26"/>
      <c r="N154" s="85">
        <v>0</v>
      </c>
      <c r="O154" s="26"/>
      <c r="P154" s="85">
        <v>0</v>
      </c>
      <c r="Q154" s="26"/>
      <c r="R154" s="85">
        <v>44</v>
      </c>
      <c r="S154" s="26"/>
      <c r="T154" s="26">
        <f>SUM(D154:R154)</f>
        <v>79</v>
      </c>
      <c r="U154" s="36"/>
      <c r="V154" s="31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37" customFormat="1" ht="15">
      <c r="A155" s="33"/>
      <c r="B155" s="18" t="s">
        <v>71</v>
      </c>
      <c r="C155" s="44"/>
      <c r="D155" s="85">
        <v>70</v>
      </c>
      <c r="E155" s="26"/>
      <c r="F155" s="85">
        <v>0</v>
      </c>
      <c r="G155" s="26"/>
      <c r="H155" s="85">
        <v>0</v>
      </c>
      <c r="I155" s="26"/>
      <c r="J155" s="85">
        <v>0</v>
      </c>
      <c r="K155" s="26"/>
      <c r="L155" s="85">
        <v>0</v>
      </c>
      <c r="M155" s="26"/>
      <c r="N155" s="85">
        <v>0</v>
      </c>
      <c r="O155" s="26"/>
      <c r="P155" s="85">
        <v>3</v>
      </c>
      <c r="Q155" s="26"/>
      <c r="R155" s="85">
        <v>56</v>
      </c>
      <c r="S155" s="26"/>
      <c r="T155" s="26">
        <f>SUM(D155:R155)</f>
        <v>129</v>
      </c>
      <c r="U155" s="36"/>
      <c r="V155" s="31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s="37" customFormat="1" ht="15">
      <c r="A156" s="33"/>
      <c r="B156" s="18" t="s">
        <v>72</v>
      </c>
      <c r="C156" s="44"/>
      <c r="D156" s="85">
        <v>62</v>
      </c>
      <c r="E156" s="26"/>
      <c r="F156" s="85">
        <v>0</v>
      </c>
      <c r="G156" s="26"/>
      <c r="H156" s="85">
        <v>0</v>
      </c>
      <c r="I156" s="26"/>
      <c r="J156" s="85">
        <v>0</v>
      </c>
      <c r="K156" s="26"/>
      <c r="L156" s="85">
        <v>0</v>
      </c>
      <c r="M156" s="26"/>
      <c r="N156" s="85">
        <v>1</v>
      </c>
      <c r="O156" s="26"/>
      <c r="P156" s="85">
        <v>0</v>
      </c>
      <c r="Q156" s="26"/>
      <c r="R156" s="85">
        <v>51</v>
      </c>
      <c r="S156" s="26"/>
      <c r="T156" s="26">
        <f>SUM(D156:R156)</f>
        <v>114</v>
      </c>
      <c r="U156" s="36"/>
      <c r="V156" s="31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37" customFormat="1" ht="15">
      <c r="A157" s="33"/>
      <c r="B157" s="102" t="s">
        <v>28</v>
      </c>
      <c r="C157" s="44"/>
      <c r="D157" s="85"/>
      <c r="E157" s="26"/>
      <c r="F157" s="85"/>
      <c r="G157" s="26"/>
      <c r="H157" s="85"/>
      <c r="I157" s="26"/>
      <c r="J157" s="85"/>
      <c r="K157" s="26"/>
      <c r="L157" s="85"/>
      <c r="M157" s="26"/>
      <c r="N157" s="85"/>
      <c r="O157" s="26"/>
      <c r="P157" s="85"/>
      <c r="Q157" s="26"/>
      <c r="R157" s="85"/>
      <c r="S157" s="26"/>
      <c r="T157" s="26"/>
      <c r="U157" s="36"/>
      <c r="V157" s="31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37" customFormat="1" ht="15">
      <c r="A158" s="33"/>
      <c r="B158" s="18" t="s">
        <v>73</v>
      </c>
      <c r="C158" s="44"/>
      <c r="D158" s="85">
        <v>6</v>
      </c>
      <c r="E158" s="26"/>
      <c r="F158" s="85">
        <v>0</v>
      </c>
      <c r="G158" s="26"/>
      <c r="H158" s="85">
        <v>0</v>
      </c>
      <c r="I158" s="26"/>
      <c r="J158" s="85">
        <v>0</v>
      </c>
      <c r="K158" s="26"/>
      <c r="L158" s="85">
        <v>0</v>
      </c>
      <c r="M158" s="26"/>
      <c r="N158" s="85">
        <v>0</v>
      </c>
      <c r="O158" s="26"/>
      <c r="P158" s="85">
        <v>0</v>
      </c>
      <c r="Q158" s="26"/>
      <c r="R158" s="85">
        <v>0</v>
      </c>
      <c r="S158" s="26"/>
      <c r="T158" s="26">
        <f>SUM(D158:R158)</f>
        <v>6</v>
      </c>
      <c r="U158" s="36"/>
      <c r="V158" s="31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s="37" customFormat="1" ht="15">
      <c r="A159" s="33"/>
      <c r="B159" s="18" t="s">
        <v>113</v>
      </c>
      <c r="C159" s="44"/>
      <c r="D159" s="85">
        <v>0</v>
      </c>
      <c r="E159" s="26"/>
      <c r="F159" s="85">
        <v>0</v>
      </c>
      <c r="G159" s="26"/>
      <c r="H159" s="85">
        <v>1</v>
      </c>
      <c r="I159" s="26"/>
      <c r="J159" s="85">
        <v>0</v>
      </c>
      <c r="K159" s="26"/>
      <c r="L159" s="85">
        <v>0</v>
      </c>
      <c r="M159" s="26"/>
      <c r="N159" s="85">
        <v>0</v>
      </c>
      <c r="O159" s="26"/>
      <c r="P159" s="85">
        <v>0</v>
      </c>
      <c r="Q159" s="26"/>
      <c r="R159" s="85">
        <v>29</v>
      </c>
      <c r="S159" s="26"/>
      <c r="T159" s="26">
        <f>SUM(D159:R159)</f>
        <v>30</v>
      </c>
      <c r="U159" s="36"/>
      <c r="V159" s="31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37" customFormat="1" ht="15">
      <c r="A160" s="33"/>
      <c r="B160" s="92" t="s">
        <v>24</v>
      </c>
      <c r="C160" s="44"/>
      <c r="D160" s="53">
        <f>SUM(D154:D159)</f>
        <v>172</v>
      </c>
      <c r="E160" s="100"/>
      <c r="F160" s="53">
        <f>SUM(F154:F159)</f>
        <v>0</v>
      </c>
      <c r="G160" s="100"/>
      <c r="H160" s="53">
        <f>SUM(H154:H159)</f>
        <v>2</v>
      </c>
      <c r="I160" s="100"/>
      <c r="J160" s="53">
        <f>SUM(J154:J159)</f>
        <v>0</v>
      </c>
      <c r="K160" s="100"/>
      <c r="L160" s="53">
        <f>SUM(L154:L159)</f>
        <v>0</v>
      </c>
      <c r="M160" s="100"/>
      <c r="N160" s="53">
        <f>SUM(N154:N159)</f>
        <v>1</v>
      </c>
      <c r="O160" s="100"/>
      <c r="P160" s="53">
        <f>SUM(P154:P159)</f>
        <v>3</v>
      </c>
      <c r="Q160" s="100"/>
      <c r="R160" s="53">
        <f>SUM(R154:R159)</f>
        <v>180</v>
      </c>
      <c r="S160" s="26"/>
      <c r="T160" s="53">
        <f>SUM(T154:T159)</f>
        <v>358</v>
      </c>
      <c r="U160" s="36"/>
      <c r="V160" s="31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2" ht="15">
      <c r="A161" s="30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86" t="s">
        <v>4</v>
      </c>
      <c r="S161" s="22"/>
      <c r="T161" s="22">
        <f>T160-T162</f>
        <v>161</v>
      </c>
      <c r="U161" s="40"/>
      <c r="V161" s="14"/>
    </row>
    <row r="162" spans="1:22" ht="15">
      <c r="A162" s="3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86" t="s">
        <v>5</v>
      </c>
      <c r="S162" s="22"/>
      <c r="T162" s="22">
        <v>197</v>
      </c>
      <c r="U162" s="41"/>
      <c r="V162" s="14"/>
    </row>
    <row r="163" spans="1:253" s="64" customFormat="1" ht="6" customHeight="1" thickBot="1">
      <c r="A163" s="59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62"/>
      <c r="V163" s="60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</row>
    <row r="164" spans="1:22" ht="15.75" thickTop="1">
      <c r="A164" s="13"/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3"/>
      <c r="V164" s="14"/>
    </row>
    <row r="165" spans="1:22" ht="18">
      <c r="A165" s="14"/>
      <c r="B165" s="110" t="s">
        <v>139</v>
      </c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14"/>
      <c r="V165" s="14"/>
    </row>
    <row r="166" spans="1:22" ht="18">
      <c r="A166" s="14"/>
      <c r="B166" s="120" t="s">
        <v>140</v>
      </c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4"/>
      <c r="V166" s="14"/>
    </row>
    <row r="167" spans="1:22" ht="15" customHeight="1">
      <c r="A167" s="14"/>
      <c r="B167" s="120" t="s">
        <v>141</v>
      </c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4"/>
      <c r="V167" s="14"/>
    </row>
    <row r="168" spans="1:22" ht="15" customHeight="1">
      <c r="A168" s="14"/>
      <c r="B168" s="120" t="s">
        <v>142</v>
      </c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4"/>
      <c r="V168" s="14"/>
    </row>
    <row r="169" spans="1:22" ht="15" customHeight="1">
      <c r="A169" s="14"/>
      <c r="B169" s="120" t="s">
        <v>143</v>
      </c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4"/>
      <c r="V169" s="14"/>
    </row>
    <row r="170" spans="1:22" ht="12.75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4"/>
      <c r="V170" s="14"/>
    </row>
    <row r="171" spans="1:22" ht="6" customHeight="1">
      <c r="A171" s="112"/>
      <c r="B171" s="110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9"/>
      <c r="V171" s="14"/>
    </row>
    <row r="172" spans="1:22" ht="15.75">
      <c r="A172" s="112"/>
      <c r="B172" s="8" t="s">
        <v>100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79"/>
      <c r="V172" s="14"/>
    </row>
    <row r="173" spans="1:22" ht="15">
      <c r="A173" s="112"/>
      <c r="B173" s="103" t="s">
        <v>27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79"/>
      <c r="V173" s="14"/>
    </row>
    <row r="174" spans="1:22" ht="15">
      <c r="A174" s="112"/>
      <c r="B174" s="107" t="s">
        <v>74</v>
      </c>
      <c r="C174" s="84"/>
      <c r="D174" s="85">
        <v>84</v>
      </c>
      <c r="E174" s="85"/>
      <c r="F174" s="85">
        <v>0</v>
      </c>
      <c r="G174" s="85"/>
      <c r="H174" s="85">
        <v>0</v>
      </c>
      <c r="I174" s="85"/>
      <c r="J174" s="85">
        <v>1</v>
      </c>
      <c r="K174" s="85"/>
      <c r="L174" s="85">
        <v>0</v>
      </c>
      <c r="M174" s="85"/>
      <c r="N174" s="85">
        <v>0</v>
      </c>
      <c r="O174" s="85"/>
      <c r="P174" s="85">
        <v>0</v>
      </c>
      <c r="Q174" s="85"/>
      <c r="R174" s="85">
        <v>43</v>
      </c>
      <c r="S174" s="91"/>
      <c r="T174" s="26">
        <v>128</v>
      </c>
      <c r="U174" s="79"/>
      <c r="V174" s="14"/>
    </row>
    <row r="175" spans="1:22" ht="15">
      <c r="A175" s="112"/>
      <c r="B175" s="107" t="s">
        <v>75</v>
      </c>
      <c r="C175" s="84"/>
      <c r="D175" s="85">
        <v>63</v>
      </c>
      <c r="E175" s="85"/>
      <c r="F175" s="85">
        <v>0</v>
      </c>
      <c r="G175" s="85"/>
      <c r="H175" s="85">
        <v>0</v>
      </c>
      <c r="I175" s="85"/>
      <c r="J175" s="85">
        <v>1</v>
      </c>
      <c r="K175" s="85"/>
      <c r="L175" s="85">
        <v>0</v>
      </c>
      <c r="M175" s="85"/>
      <c r="N175" s="85">
        <v>2</v>
      </c>
      <c r="O175" s="85"/>
      <c r="P175" s="85">
        <v>0</v>
      </c>
      <c r="Q175" s="85"/>
      <c r="R175" s="85">
        <v>62</v>
      </c>
      <c r="S175" s="26"/>
      <c r="T175" s="26">
        <v>128</v>
      </c>
      <c r="U175" s="79"/>
      <c r="V175" s="14"/>
    </row>
    <row r="176" spans="1:22" ht="15">
      <c r="A176" s="112"/>
      <c r="B176" s="107" t="s">
        <v>76</v>
      </c>
      <c r="C176" s="84"/>
      <c r="D176" s="85">
        <v>73</v>
      </c>
      <c r="E176" s="85"/>
      <c r="F176" s="85">
        <v>0</v>
      </c>
      <c r="G176" s="85"/>
      <c r="H176" s="85">
        <v>0</v>
      </c>
      <c r="I176" s="85"/>
      <c r="J176" s="85">
        <v>1</v>
      </c>
      <c r="K176" s="85"/>
      <c r="L176" s="85">
        <v>0</v>
      </c>
      <c r="M176" s="85"/>
      <c r="N176" s="85">
        <v>3</v>
      </c>
      <c r="O176" s="85"/>
      <c r="P176" s="85">
        <v>0</v>
      </c>
      <c r="Q176" s="85"/>
      <c r="R176" s="85">
        <v>45</v>
      </c>
      <c r="S176" s="26"/>
      <c r="T176" s="26">
        <v>122</v>
      </c>
      <c r="U176" s="79"/>
      <c r="V176" s="14"/>
    </row>
    <row r="177" spans="1:22" ht="15">
      <c r="A177" s="112"/>
      <c r="B177" s="102" t="s">
        <v>28</v>
      </c>
      <c r="C177" s="84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26"/>
      <c r="T177" s="26"/>
      <c r="U177" s="79"/>
      <c r="V177" s="14"/>
    </row>
    <row r="178" spans="1:22" ht="15">
      <c r="A178" s="112"/>
      <c r="B178" s="107" t="s">
        <v>77</v>
      </c>
      <c r="C178" s="84"/>
      <c r="D178" s="85">
        <v>13</v>
      </c>
      <c r="E178" s="85"/>
      <c r="F178" s="85">
        <v>0</v>
      </c>
      <c r="G178" s="85"/>
      <c r="H178" s="85">
        <v>0</v>
      </c>
      <c r="I178" s="85"/>
      <c r="J178" s="85">
        <v>0</v>
      </c>
      <c r="K178" s="85"/>
      <c r="L178" s="85">
        <v>0</v>
      </c>
      <c r="M178" s="85"/>
      <c r="N178" s="85">
        <v>0</v>
      </c>
      <c r="O178" s="85"/>
      <c r="P178" s="85">
        <v>0</v>
      </c>
      <c r="Q178" s="85"/>
      <c r="R178" s="85">
        <v>0</v>
      </c>
      <c r="S178" s="26"/>
      <c r="T178" s="26">
        <v>13</v>
      </c>
      <c r="U178" s="79"/>
      <c r="V178" s="14"/>
    </row>
    <row r="179" spans="1:22" ht="15">
      <c r="A179" s="112"/>
      <c r="B179" s="92" t="s">
        <v>24</v>
      </c>
      <c r="C179" s="44"/>
      <c r="D179" s="53">
        <f>SUM(D174:D178)</f>
        <v>233</v>
      </c>
      <c r="E179" s="100"/>
      <c r="F179" s="53">
        <f>SUM(F174:F178)</f>
        <v>0</v>
      </c>
      <c r="G179" s="100"/>
      <c r="H179" s="53">
        <f>SUM(H174:H178)</f>
        <v>0</v>
      </c>
      <c r="I179" s="100"/>
      <c r="J179" s="53">
        <f>SUM(J174:J178)</f>
        <v>3</v>
      </c>
      <c r="K179" s="100"/>
      <c r="L179" s="53">
        <f>SUM(L174:L178)</f>
        <v>0</v>
      </c>
      <c r="M179" s="100"/>
      <c r="N179" s="53">
        <f>SUM(N174:N178)</f>
        <v>5</v>
      </c>
      <c r="O179" s="100"/>
      <c r="P179" s="53">
        <f>SUM(P174:P178)</f>
        <v>0</v>
      </c>
      <c r="Q179" s="100"/>
      <c r="R179" s="53">
        <f>SUM(R174:R178)</f>
        <v>150</v>
      </c>
      <c r="S179" s="26"/>
      <c r="T179" s="53">
        <f>SUM(T174:T178)</f>
        <v>391</v>
      </c>
      <c r="U179" s="79"/>
      <c r="V179" s="14"/>
    </row>
    <row r="180" spans="1:22" ht="15">
      <c r="A180" s="112"/>
      <c r="B180" s="38"/>
      <c r="C180" s="44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86" t="s">
        <v>4</v>
      </c>
      <c r="S180" s="22"/>
      <c r="T180" s="22">
        <f>T179-T181</f>
        <v>200</v>
      </c>
      <c r="U180" s="79"/>
      <c r="V180" s="14"/>
    </row>
    <row r="181" spans="1:22" ht="18">
      <c r="A181" s="112"/>
      <c r="B181" s="110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86" t="s">
        <v>5</v>
      </c>
      <c r="S181" s="22"/>
      <c r="T181" s="22">
        <v>191</v>
      </c>
      <c r="U181" s="79"/>
      <c r="V181" s="14"/>
    </row>
    <row r="182" spans="1:253" s="106" customFormat="1" ht="15">
      <c r="A182" s="112"/>
      <c r="B182" s="44"/>
      <c r="C182" s="44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39"/>
      <c r="S182" s="22"/>
      <c r="T182" s="22"/>
      <c r="U182" s="79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68"/>
      <c r="EA182" s="68"/>
      <c r="EB182" s="68"/>
      <c r="EC182" s="68"/>
      <c r="ED182" s="68"/>
      <c r="EE182" s="68"/>
      <c r="EF182" s="68"/>
      <c r="EG182" s="68"/>
      <c r="EH182" s="68"/>
      <c r="EI182" s="68"/>
      <c r="EJ182" s="68"/>
      <c r="EK182" s="68"/>
      <c r="EL182" s="68"/>
      <c r="EM182" s="68"/>
      <c r="EN182" s="68"/>
      <c r="EO182" s="68"/>
      <c r="EP182" s="68"/>
      <c r="EQ182" s="68"/>
      <c r="ER182" s="68"/>
      <c r="ES182" s="68"/>
      <c r="ET182" s="68"/>
      <c r="EU182" s="68"/>
      <c r="EV182" s="68"/>
      <c r="EW182" s="68"/>
      <c r="EX182" s="68"/>
      <c r="EY182" s="68"/>
      <c r="EZ182" s="68"/>
      <c r="FA182" s="68"/>
      <c r="FB182" s="68"/>
      <c r="FC182" s="68"/>
      <c r="FD182" s="68"/>
      <c r="FE182" s="68"/>
      <c r="FF182" s="68"/>
      <c r="FG182" s="68"/>
      <c r="FH182" s="68"/>
      <c r="FI182" s="68"/>
      <c r="FJ182" s="68"/>
      <c r="FK182" s="68"/>
      <c r="FL182" s="68"/>
      <c r="FM182" s="68"/>
      <c r="FN182" s="68"/>
      <c r="FO182" s="68"/>
      <c r="FP182" s="68"/>
      <c r="FQ182" s="68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68"/>
      <c r="GC182" s="68"/>
      <c r="GD182" s="68"/>
      <c r="GE182" s="68"/>
      <c r="GF182" s="68"/>
      <c r="GG182" s="68"/>
      <c r="GH182" s="68"/>
      <c r="GI182" s="68"/>
      <c r="GJ182" s="68"/>
      <c r="GK182" s="68"/>
      <c r="GL182" s="68"/>
      <c r="GM182" s="68"/>
      <c r="GN182" s="68"/>
      <c r="GO182" s="68"/>
      <c r="GP182" s="68"/>
      <c r="GQ182" s="68"/>
      <c r="GR182" s="68"/>
      <c r="GS182" s="68"/>
      <c r="GT182" s="68"/>
      <c r="GU182" s="68"/>
      <c r="GV182" s="68"/>
      <c r="GW182" s="68"/>
      <c r="GX182" s="68"/>
      <c r="GY182" s="68"/>
      <c r="GZ182" s="68"/>
      <c r="HA182" s="68"/>
      <c r="HB182" s="68"/>
      <c r="HC182" s="68"/>
      <c r="HD182" s="68"/>
      <c r="HE182" s="68"/>
      <c r="HF182" s="68"/>
      <c r="HG182" s="68"/>
      <c r="HH182" s="68"/>
      <c r="HI182" s="68"/>
      <c r="HJ182" s="68"/>
      <c r="HK182" s="68"/>
      <c r="HL182" s="68"/>
      <c r="HM182" s="68"/>
      <c r="HN182" s="68"/>
      <c r="HO182" s="68"/>
      <c r="HP182" s="68"/>
      <c r="HQ182" s="68"/>
      <c r="HR182" s="68"/>
      <c r="HS182" s="68"/>
      <c r="HT182" s="68"/>
      <c r="HU182" s="68"/>
      <c r="HV182" s="68"/>
      <c r="HW182" s="68"/>
      <c r="HX182" s="68"/>
      <c r="HY182" s="68"/>
      <c r="HZ182" s="68"/>
      <c r="IA182" s="68"/>
      <c r="IB182" s="68"/>
      <c r="IC182" s="68"/>
      <c r="ID182" s="68"/>
      <c r="IE182" s="68"/>
      <c r="IF182" s="68"/>
      <c r="IG182" s="68"/>
      <c r="IH182" s="68"/>
      <c r="II182" s="68"/>
      <c r="IJ182" s="68"/>
      <c r="IK182" s="68"/>
      <c r="IL182" s="68"/>
      <c r="IM182" s="68"/>
      <c r="IN182" s="68"/>
      <c r="IO182" s="68"/>
      <c r="IP182" s="68"/>
      <c r="IQ182" s="68"/>
      <c r="IR182" s="68"/>
      <c r="IS182" s="68"/>
    </row>
    <row r="183" spans="1:22" ht="15.75">
      <c r="A183" s="30"/>
      <c r="B183" s="8" t="s">
        <v>15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113"/>
      <c r="V183" s="14"/>
    </row>
    <row r="184" spans="1:22" ht="15">
      <c r="A184" s="30"/>
      <c r="B184" s="103" t="s">
        <v>27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113"/>
      <c r="V184" s="14"/>
    </row>
    <row r="185" spans="1:22" ht="15">
      <c r="A185" s="30"/>
      <c r="B185" s="107" t="s">
        <v>78</v>
      </c>
      <c r="C185" s="84"/>
      <c r="D185" s="85">
        <v>77</v>
      </c>
      <c r="E185" s="85"/>
      <c r="F185" s="85">
        <v>0</v>
      </c>
      <c r="G185" s="85"/>
      <c r="H185" s="85">
        <v>0</v>
      </c>
      <c r="I185" s="85"/>
      <c r="J185" s="85">
        <v>0</v>
      </c>
      <c r="K185" s="85"/>
      <c r="L185" s="85">
        <v>0</v>
      </c>
      <c r="M185" s="85"/>
      <c r="N185" s="85">
        <v>2</v>
      </c>
      <c r="O185" s="85"/>
      <c r="P185" s="85">
        <v>0</v>
      </c>
      <c r="Q185" s="85"/>
      <c r="R185" s="85">
        <v>58</v>
      </c>
      <c r="S185" s="26"/>
      <c r="T185" s="26">
        <f>SUM(D185:R185)</f>
        <v>137</v>
      </c>
      <c r="U185" s="41"/>
      <c r="V185" s="14"/>
    </row>
    <row r="186" spans="1:22" ht="15">
      <c r="A186" s="33"/>
      <c r="B186" s="107" t="s">
        <v>79</v>
      </c>
      <c r="C186" s="84"/>
      <c r="D186" s="85">
        <v>63</v>
      </c>
      <c r="E186" s="85"/>
      <c r="F186" s="85">
        <v>4</v>
      </c>
      <c r="G186" s="85"/>
      <c r="H186" s="85">
        <v>0</v>
      </c>
      <c r="I186" s="85"/>
      <c r="J186" s="85">
        <v>0</v>
      </c>
      <c r="K186" s="85"/>
      <c r="L186" s="85">
        <v>0</v>
      </c>
      <c r="M186" s="85"/>
      <c r="N186" s="85">
        <v>0</v>
      </c>
      <c r="O186" s="85"/>
      <c r="P186" s="85">
        <v>0</v>
      </c>
      <c r="Q186" s="85"/>
      <c r="R186" s="85">
        <v>58</v>
      </c>
      <c r="S186" s="26"/>
      <c r="T186" s="26">
        <f aca="true" t="shared" si="5" ref="T186:T193">SUM(D186:R186)</f>
        <v>125</v>
      </c>
      <c r="U186" s="41"/>
      <c r="V186" s="14"/>
    </row>
    <row r="187" spans="1:253" s="37" customFormat="1" ht="15">
      <c r="A187" s="33"/>
      <c r="B187" s="107" t="s">
        <v>80</v>
      </c>
      <c r="C187" s="84"/>
      <c r="D187" s="85">
        <v>54</v>
      </c>
      <c r="E187" s="85"/>
      <c r="F187" s="85">
        <v>3</v>
      </c>
      <c r="G187" s="85"/>
      <c r="H187" s="85">
        <v>4</v>
      </c>
      <c r="I187" s="85"/>
      <c r="J187" s="85">
        <v>0</v>
      </c>
      <c r="K187" s="85"/>
      <c r="L187" s="85">
        <v>0</v>
      </c>
      <c r="M187" s="85"/>
      <c r="N187" s="85">
        <v>5</v>
      </c>
      <c r="O187" s="85"/>
      <c r="P187" s="85">
        <v>0</v>
      </c>
      <c r="Q187" s="85"/>
      <c r="R187" s="85">
        <v>57</v>
      </c>
      <c r="S187" s="26"/>
      <c r="T187" s="26">
        <f t="shared" si="5"/>
        <v>123</v>
      </c>
      <c r="U187" s="36"/>
      <c r="V187" s="31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</row>
    <row r="188" spans="1:253" s="37" customFormat="1" ht="15">
      <c r="A188" s="33"/>
      <c r="B188" s="107" t="s">
        <v>81</v>
      </c>
      <c r="C188" s="84"/>
      <c r="D188" s="85">
        <v>59</v>
      </c>
      <c r="E188" s="85"/>
      <c r="F188" s="85">
        <v>0</v>
      </c>
      <c r="G188" s="85"/>
      <c r="H188" s="85">
        <v>0</v>
      </c>
      <c r="I188" s="85"/>
      <c r="J188" s="85">
        <v>0</v>
      </c>
      <c r="K188" s="85"/>
      <c r="L188" s="85">
        <v>0</v>
      </c>
      <c r="M188" s="85"/>
      <c r="N188" s="85">
        <v>4</v>
      </c>
      <c r="O188" s="85"/>
      <c r="P188" s="85">
        <v>0</v>
      </c>
      <c r="Q188" s="85"/>
      <c r="R188" s="85">
        <v>58</v>
      </c>
      <c r="S188" s="26"/>
      <c r="T188" s="26">
        <f t="shared" si="5"/>
        <v>121</v>
      </c>
      <c r="U188" s="36"/>
      <c r="V188" s="31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</row>
    <row r="189" spans="1:253" s="37" customFormat="1" ht="15">
      <c r="A189" s="33"/>
      <c r="B189" s="107" t="s">
        <v>82</v>
      </c>
      <c r="C189" s="84"/>
      <c r="D189" s="85">
        <v>80</v>
      </c>
      <c r="E189" s="85"/>
      <c r="F189" s="85">
        <v>8</v>
      </c>
      <c r="G189" s="85"/>
      <c r="H189" s="85">
        <v>17</v>
      </c>
      <c r="I189" s="85"/>
      <c r="J189" s="85">
        <v>1</v>
      </c>
      <c r="K189" s="85"/>
      <c r="L189" s="85">
        <v>0</v>
      </c>
      <c r="M189" s="85"/>
      <c r="N189" s="85">
        <v>6</v>
      </c>
      <c r="O189" s="85"/>
      <c r="P189" s="85">
        <v>0</v>
      </c>
      <c r="Q189" s="85"/>
      <c r="R189" s="85">
        <v>60</v>
      </c>
      <c r="S189" s="26"/>
      <c r="T189" s="26">
        <f t="shared" si="5"/>
        <v>172</v>
      </c>
      <c r="U189" s="36"/>
      <c r="V189" s="31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</row>
    <row r="190" spans="1:253" s="37" customFormat="1" ht="15" customHeight="1">
      <c r="A190" s="33"/>
      <c r="B190" s="107" t="s">
        <v>101</v>
      </c>
      <c r="C190" s="84"/>
      <c r="D190" s="85">
        <v>72</v>
      </c>
      <c r="E190" s="85"/>
      <c r="F190" s="85">
        <v>2</v>
      </c>
      <c r="G190" s="85"/>
      <c r="H190" s="85">
        <v>0</v>
      </c>
      <c r="I190" s="85"/>
      <c r="J190" s="85">
        <v>0</v>
      </c>
      <c r="K190" s="85"/>
      <c r="L190" s="85">
        <v>0</v>
      </c>
      <c r="M190" s="85"/>
      <c r="N190" s="85">
        <v>5</v>
      </c>
      <c r="O190" s="85"/>
      <c r="P190" s="85">
        <v>0</v>
      </c>
      <c r="Q190" s="85"/>
      <c r="R190" s="85">
        <v>58</v>
      </c>
      <c r="S190" s="26"/>
      <c r="T190" s="26">
        <f t="shared" si="5"/>
        <v>137</v>
      </c>
      <c r="U190" s="36"/>
      <c r="V190" s="31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</row>
    <row r="191" spans="1:253" s="37" customFormat="1" ht="15">
      <c r="A191" s="33"/>
      <c r="B191" s="102" t="s">
        <v>28</v>
      </c>
      <c r="C191" s="84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26"/>
      <c r="T191" s="26">
        <f t="shared" si="5"/>
        <v>0</v>
      </c>
      <c r="U191" s="36"/>
      <c r="V191" s="31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</row>
    <row r="192" spans="1:253" s="37" customFormat="1" ht="15">
      <c r="A192" s="33"/>
      <c r="B192" s="107" t="s">
        <v>95</v>
      </c>
      <c r="C192" s="84"/>
      <c r="D192" s="85">
        <v>7</v>
      </c>
      <c r="E192" s="85"/>
      <c r="F192" s="85">
        <v>0</v>
      </c>
      <c r="G192" s="85"/>
      <c r="H192" s="85">
        <v>0</v>
      </c>
      <c r="I192" s="85"/>
      <c r="J192" s="85">
        <v>0</v>
      </c>
      <c r="K192" s="85"/>
      <c r="L192" s="85">
        <v>0</v>
      </c>
      <c r="M192" s="85"/>
      <c r="N192" s="85">
        <v>0</v>
      </c>
      <c r="O192" s="85"/>
      <c r="P192" s="85">
        <v>0</v>
      </c>
      <c r="Q192" s="85"/>
      <c r="R192" s="85">
        <v>0</v>
      </c>
      <c r="S192" s="26"/>
      <c r="T192" s="26">
        <f t="shared" si="5"/>
        <v>7</v>
      </c>
      <c r="U192" s="36"/>
      <c r="V192" s="31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</row>
    <row r="193" spans="1:253" s="37" customFormat="1" ht="15">
      <c r="A193" s="33"/>
      <c r="B193" s="107" t="s">
        <v>68</v>
      </c>
      <c r="C193" s="84"/>
      <c r="D193" s="85">
        <v>2</v>
      </c>
      <c r="E193" s="85"/>
      <c r="F193" s="85">
        <v>0</v>
      </c>
      <c r="G193" s="85"/>
      <c r="H193" s="85">
        <v>0</v>
      </c>
      <c r="I193" s="85"/>
      <c r="J193" s="85">
        <v>0</v>
      </c>
      <c r="K193" s="85"/>
      <c r="L193" s="85">
        <v>0</v>
      </c>
      <c r="M193" s="85"/>
      <c r="N193" s="85">
        <v>0</v>
      </c>
      <c r="O193" s="85"/>
      <c r="P193" s="85">
        <v>0</v>
      </c>
      <c r="Q193" s="85"/>
      <c r="R193" s="85">
        <v>34</v>
      </c>
      <c r="S193" s="26"/>
      <c r="T193" s="26">
        <f t="shared" si="5"/>
        <v>36</v>
      </c>
      <c r="U193" s="36"/>
      <c r="V193" s="31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</row>
    <row r="194" spans="1:253" s="37" customFormat="1" ht="15">
      <c r="A194" s="33"/>
      <c r="B194" s="92" t="s">
        <v>24</v>
      </c>
      <c r="C194" s="44"/>
      <c r="D194" s="53">
        <f>SUM(D185:D193)</f>
        <v>414</v>
      </c>
      <c r="E194" s="100"/>
      <c r="F194" s="53">
        <f>SUM(F185:F193)</f>
        <v>17</v>
      </c>
      <c r="G194" s="100"/>
      <c r="H194" s="53">
        <f>SUM(H185:H193)</f>
        <v>21</v>
      </c>
      <c r="I194" s="100"/>
      <c r="J194" s="53">
        <f>SUM(J185:J193)</f>
        <v>1</v>
      </c>
      <c r="K194" s="100"/>
      <c r="L194" s="53">
        <f>SUM(L185:L193)</f>
        <v>0</v>
      </c>
      <c r="M194" s="100"/>
      <c r="N194" s="53">
        <f>SUM(N185:N193)</f>
        <v>22</v>
      </c>
      <c r="O194" s="100"/>
      <c r="P194" s="53">
        <f>SUM(P185:P193)</f>
        <v>0</v>
      </c>
      <c r="Q194" s="100"/>
      <c r="R194" s="53">
        <f>SUM(R185:R193)</f>
        <v>383</v>
      </c>
      <c r="S194" s="100"/>
      <c r="T194" s="53">
        <f>SUM(T185:T193)</f>
        <v>858</v>
      </c>
      <c r="U194" s="36"/>
      <c r="V194" s="31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</row>
    <row r="195" spans="1:22" ht="15">
      <c r="A195" s="30"/>
      <c r="B195" s="38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86" t="s">
        <v>4</v>
      </c>
      <c r="S195" s="22"/>
      <c r="T195" s="22">
        <f>T194-T196</f>
        <v>510</v>
      </c>
      <c r="U195" s="32"/>
      <c r="V195" s="14"/>
    </row>
    <row r="196" spans="1:22" ht="15">
      <c r="A196" s="30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86" t="s">
        <v>5</v>
      </c>
      <c r="S196" s="22"/>
      <c r="T196" s="22">
        <v>348</v>
      </c>
      <c r="U196" s="32"/>
      <c r="V196" s="14"/>
    </row>
    <row r="197" spans="1:253" s="64" customFormat="1" ht="15">
      <c r="A197" s="6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2"/>
      <c r="V197" s="60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</row>
    <row r="198" spans="1:22" ht="15.75">
      <c r="A198" s="30"/>
      <c r="B198" s="8" t="s">
        <v>16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2"/>
      <c r="V198" s="14"/>
    </row>
    <row r="199" spans="1:22" ht="15">
      <c r="A199" s="30"/>
      <c r="B199" s="103" t="s">
        <v>27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2"/>
      <c r="V199" s="14"/>
    </row>
    <row r="200" spans="1:253" s="37" customFormat="1" ht="15">
      <c r="A200" s="33"/>
      <c r="B200" s="18" t="s">
        <v>124</v>
      </c>
      <c r="C200" s="44"/>
      <c r="D200" s="85">
        <v>61</v>
      </c>
      <c r="E200" s="26"/>
      <c r="F200" s="85">
        <v>1</v>
      </c>
      <c r="G200" s="26"/>
      <c r="H200" s="85">
        <v>0</v>
      </c>
      <c r="I200" s="26"/>
      <c r="J200" s="85">
        <v>0</v>
      </c>
      <c r="K200" s="26"/>
      <c r="L200" s="85">
        <v>0</v>
      </c>
      <c r="M200" s="26"/>
      <c r="N200" s="85">
        <v>2</v>
      </c>
      <c r="O200" s="26"/>
      <c r="P200" s="85">
        <v>2</v>
      </c>
      <c r="Q200" s="26"/>
      <c r="R200" s="85">
        <v>71</v>
      </c>
      <c r="S200" s="26"/>
      <c r="T200" s="26">
        <f>SUM(D200:R200)</f>
        <v>137</v>
      </c>
      <c r="U200" s="36"/>
      <c r="V200" s="31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</row>
    <row r="201" spans="1:253" s="37" customFormat="1" ht="15">
      <c r="A201" s="33"/>
      <c r="B201" s="18" t="s">
        <v>83</v>
      </c>
      <c r="C201" s="44"/>
      <c r="D201" s="85">
        <v>60</v>
      </c>
      <c r="E201" s="26"/>
      <c r="F201" s="85">
        <v>2</v>
      </c>
      <c r="G201" s="26"/>
      <c r="H201" s="85">
        <v>1</v>
      </c>
      <c r="I201" s="26"/>
      <c r="J201" s="85">
        <v>0</v>
      </c>
      <c r="K201" s="26"/>
      <c r="L201" s="85">
        <v>0</v>
      </c>
      <c r="M201" s="26"/>
      <c r="N201" s="85">
        <v>2</v>
      </c>
      <c r="O201" s="26"/>
      <c r="P201" s="85">
        <v>1</v>
      </c>
      <c r="Q201" s="26"/>
      <c r="R201" s="85">
        <v>61</v>
      </c>
      <c r="S201" s="26"/>
      <c r="T201" s="26">
        <f aca="true" t="shared" si="6" ref="T201:T208">SUM(D201:R201)</f>
        <v>127</v>
      </c>
      <c r="U201" s="36"/>
      <c r="V201" s="31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</row>
    <row r="202" spans="1:253" s="37" customFormat="1" ht="15">
      <c r="A202" s="33"/>
      <c r="B202" s="18" t="s">
        <v>84</v>
      </c>
      <c r="C202" s="44"/>
      <c r="D202" s="85">
        <v>55</v>
      </c>
      <c r="E202" s="26"/>
      <c r="F202" s="85">
        <v>1</v>
      </c>
      <c r="G202" s="26"/>
      <c r="H202" s="85">
        <v>1</v>
      </c>
      <c r="I202" s="26"/>
      <c r="J202" s="85">
        <v>0</v>
      </c>
      <c r="K202" s="26"/>
      <c r="L202" s="85">
        <v>0</v>
      </c>
      <c r="M202" s="26"/>
      <c r="N202" s="85">
        <v>0</v>
      </c>
      <c r="O202" s="26"/>
      <c r="P202" s="85">
        <v>1</v>
      </c>
      <c r="Q202" s="26"/>
      <c r="R202" s="85">
        <v>59</v>
      </c>
      <c r="S202" s="26"/>
      <c r="T202" s="26">
        <f t="shared" si="6"/>
        <v>117</v>
      </c>
      <c r="U202" s="36"/>
      <c r="V202" s="31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</row>
    <row r="203" spans="1:253" s="37" customFormat="1" ht="15">
      <c r="A203" s="33"/>
      <c r="B203" s="18" t="s">
        <v>85</v>
      </c>
      <c r="C203" s="44"/>
      <c r="D203" s="85">
        <v>51</v>
      </c>
      <c r="E203" s="26"/>
      <c r="F203" s="85">
        <v>6</v>
      </c>
      <c r="G203" s="26"/>
      <c r="H203" s="85">
        <v>4</v>
      </c>
      <c r="I203" s="26"/>
      <c r="J203" s="85">
        <v>0</v>
      </c>
      <c r="K203" s="26"/>
      <c r="L203" s="85">
        <v>0</v>
      </c>
      <c r="M203" s="26"/>
      <c r="N203" s="85">
        <v>3</v>
      </c>
      <c r="O203" s="26"/>
      <c r="P203" s="85">
        <v>1</v>
      </c>
      <c r="Q203" s="26"/>
      <c r="R203" s="85">
        <v>64</v>
      </c>
      <c r="S203" s="26"/>
      <c r="T203" s="26">
        <f t="shared" si="6"/>
        <v>129</v>
      </c>
      <c r="U203" s="36"/>
      <c r="V203" s="31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</row>
    <row r="204" spans="1:253" s="37" customFormat="1" ht="15">
      <c r="A204" s="33"/>
      <c r="B204" s="18" t="s">
        <v>86</v>
      </c>
      <c r="C204" s="44"/>
      <c r="D204" s="85">
        <v>60</v>
      </c>
      <c r="E204" s="26"/>
      <c r="F204" s="85">
        <v>6</v>
      </c>
      <c r="G204" s="26"/>
      <c r="H204" s="85">
        <v>1</v>
      </c>
      <c r="I204" s="26"/>
      <c r="J204" s="85">
        <v>0</v>
      </c>
      <c r="K204" s="26"/>
      <c r="L204" s="85">
        <v>0</v>
      </c>
      <c r="M204" s="26"/>
      <c r="N204" s="85">
        <v>2</v>
      </c>
      <c r="O204" s="26"/>
      <c r="P204" s="85">
        <v>1</v>
      </c>
      <c r="Q204" s="26"/>
      <c r="R204" s="85">
        <v>57</v>
      </c>
      <c r="S204" s="26"/>
      <c r="T204" s="26">
        <f t="shared" si="6"/>
        <v>127</v>
      </c>
      <c r="U204" s="36"/>
      <c r="V204" s="31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</row>
    <row r="205" spans="1:253" s="37" customFormat="1" ht="15">
      <c r="A205" s="33"/>
      <c r="B205" s="18" t="s">
        <v>87</v>
      </c>
      <c r="C205" s="44"/>
      <c r="D205" s="85">
        <v>36</v>
      </c>
      <c r="E205" s="26"/>
      <c r="F205" s="85">
        <v>2</v>
      </c>
      <c r="G205" s="26"/>
      <c r="H205" s="85">
        <v>0</v>
      </c>
      <c r="I205" s="26"/>
      <c r="J205" s="85">
        <v>0</v>
      </c>
      <c r="K205" s="26"/>
      <c r="L205" s="85">
        <v>0</v>
      </c>
      <c r="M205" s="26"/>
      <c r="N205" s="85">
        <v>1</v>
      </c>
      <c r="O205" s="26"/>
      <c r="P205" s="85">
        <v>0</v>
      </c>
      <c r="Q205" s="26"/>
      <c r="R205" s="85">
        <v>59</v>
      </c>
      <c r="S205" s="26"/>
      <c r="T205" s="26">
        <f t="shared" si="6"/>
        <v>98</v>
      </c>
      <c r="U205" s="36"/>
      <c r="V205" s="31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</row>
    <row r="206" spans="1:253" s="37" customFormat="1" ht="15">
      <c r="A206" s="33"/>
      <c r="B206" s="18" t="s">
        <v>88</v>
      </c>
      <c r="C206" s="44"/>
      <c r="D206" s="85">
        <v>67</v>
      </c>
      <c r="E206" s="26"/>
      <c r="F206" s="85">
        <v>10</v>
      </c>
      <c r="G206" s="26"/>
      <c r="H206" s="85">
        <v>0</v>
      </c>
      <c r="I206" s="26"/>
      <c r="J206" s="85">
        <v>0</v>
      </c>
      <c r="K206" s="26"/>
      <c r="L206" s="85">
        <v>0</v>
      </c>
      <c r="M206" s="26"/>
      <c r="N206" s="85">
        <v>3</v>
      </c>
      <c r="O206" s="26"/>
      <c r="P206" s="85">
        <v>3</v>
      </c>
      <c r="Q206" s="26"/>
      <c r="R206" s="85">
        <v>61</v>
      </c>
      <c r="S206" s="26"/>
      <c r="T206" s="26">
        <f t="shared" si="6"/>
        <v>144</v>
      </c>
      <c r="U206" s="36"/>
      <c r="V206" s="31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</row>
    <row r="207" spans="1:253" s="37" customFormat="1" ht="15">
      <c r="A207" s="33"/>
      <c r="B207" s="18" t="s">
        <v>96</v>
      </c>
      <c r="C207" s="44"/>
      <c r="D207" s="85">
        <v>49</v>
      </c>
      <c r="E207" s="26"/>
      <c r="F207" s="85">
        <v>0</v>
      </c>
      <c r="G207" s="26"/>
      <c r="H207" s="85">
        <v>6</v>
      </c>
      <c r="I207" s="26"/>
      <c r="J207" s="85">
        <v>0</v>
      </c>
      <c r="K207" s="26"/>
      <c r="L207" s="85">
        <v>0</v>
      </c>
      <c r="M207" s="26"/>
      <c r="N207" s="85">
        <v>4</v>
      </c>
      <c r="O207" s="26"/>
      <c r="P207" s="85">
        <v>0</v>
      </c>
      <c r="Q207" s="26"/>
      <c r="R207" s="85">
        <v>52</v>
      </c>
      <c r="S207" s="26"/>
      <c r="T207" s="26">
        <f t="shared" si="6"/>
        <v>111</v>
      </c>
      <c r="U207" s="36"/>
      <c r="V207" s="31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</row>
    <row r="208" spans="1:253" s="37" customFormat="1" ht="15">
      <c r="A208" s="33"/>
      <c r="B208" s="18" t="s">
        <v>89</v>
      </c>
      <c r="C208" s="44"/>
      <c r="D208" s="85">
        <v>57</v>
      </c>
      <c r="E208" s="26"/>
      <c r="F208" s="85">
        <v>0</v>
      </c>
      <c r="G208" s="26"/>
      <c r="H208" s="85">
        <v>0</v>
      </c>
      <c r="I208" s="26"/>
      <c r="J208" s="85">
        <v>0</v>
      </c>
      <c r="K208" s="26"/>
      <c r="L208" s="85">
        <v>0</v>
      </c>
      <c r="M208" s="26"/>
      <c r="N208" s="85">
        <v>2</v>
      </c>
      <c r="O208" s="26"/>
      <c r="P208" s="85">
        <v>1</v>
      </c>
      <c r="Q208" s="26"/>
      <c r="R208" s="85">
        <v>53</v>
      </c>
      <c r="S208" s="26"/>
      <c r="T208" s="26">
        <f t="shared" si="6"/>
        <v>113</v>
      </c>
      <c r="U208" s="36"/>
      <c r="V208" s="31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</row>
    <row r="209" spans="1:253" s="37" customFormat="1" ht="15.75" customHeight="1">
      <c r="A209" s="33"/>
      <c r="B209" s="102" t="s">
        <v>28</v>
      </c>
      <c r="C209" s="44"/>
      <c r="D209" s="84"/>
      <c r="E209" s="26"/>
      <c r="F209" s="84"/>
      <c r="G209" s="26"/>
      <c r="H209" s="84"/>
      <c r="I209" s="26"/>
      <c r="J209" s="84"/>
      <c r="K209" s="26"/>
      <c r="L209" s="84"/>
      <c r="M209" s="26"/>
      <c r="N209" s="84"/>
      <c r="O209" s="26"/>
      <c r="P209" s="84"/>
      <c r="Q209" s="26"/>
      <c r="R209" s="84"/>
      <c r="S209" s="26"/>
      <c r="T209" s="26"/>
      <c r="U209" s="36"/>
      <c r="V209" s="31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</row>
    <row r="210" spans="1:253" s="37" customFormat="1" ht="15">
      <c r="A210" s="33"/>
      <c r="B210" s="18" t="s">
        <v>97</v>
      </c>
      <c r="C210" s="31"/>
      <c r="D210" s="85">
        <v>4</v>
      </c>
      <c r="E210" s="26"/>
      <c r="F210" s="85">
        <v>0</v>
      </c>
      <c r="G210" s="26"/>
      <c r="H210" s="85">
        <v>0</v>
      </c>
      <c r="I210" s="26"/>
      <c r="J210" s="85">
        <v>0</v>
      </c>
      <c r="K210" s="26"/>
      <c r="L210" s="85">
        <v>0</v>
      </c>
      <c r="M210" s="26"/>
      <c r="N210" s="85">
        <v>0</v>
      </c>
      <c r="O210" s="26"/>
      <c r="P210" s="85">
        <v>0</v>
      </c>
      <c r="Q210" s="26"/>
      <c r="R210" s="85">
        <v>0</v>
      </c>
      <c r="S210" s="26"/>
      <c r="T210" s="26">
        <f>SUM(D210:R210)</f>
        <v>4</v>
      </c>
      <c r="U210" s="36"/>
      <c r="V210" s="31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</row>
    <row r="211" spans="1:253" s="37" customFormat="1" ht="15">
      <c r="A211" s="33"/>
      <c r="B211" s="18" t="s">
        <v>125</v>
      </c>
      <c r="C211" s="44"/>
      <c r="D211" s="85">
        <v>1</v>
      </c>
      <c r="E211" s="26"/>
      <c r="F211" s="85">
        <v>0</v>
      </c>
      <c r="G211" s="26"/>
      <c r="H211" s="85">
        <v>0</v>
      </c>
      <c r="I211" s="26"/>
      <c r="J211" s="85">
        <v>0</v>
      </c>
      <c r="K211" s="26"/>
      <c r="L211" s="85">
        <v>0</v>
      </c>
      <c r="M211" s="26"/>
      <c r="N211" s="85">
        <v>0</v>
      </c>
      <c r="O211" s="26"/>
      <c r="P211" s="85">
        <v>0</v>
      </c>
      <c r="Q211" s="26"/>
      <c r="R211" s="85">
        <v>0</v>
      </c>
      <c r="S211" s="26"/>
      <c r="T211" s="26">
        <f>SUM(D211:R211)</f>
        <v>1</v>
      </c>
      <c r="U211" s="52"/>
      <c r="V211" s="31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</row>
    <row r="212" spans="1:253" s="37" customFormat="1" ht="15">
      <c r="A212" s="33"/>
      <c r="B212" s="18" t="s">
        <v>126</v>
      </c>
      <c r="C212" s="44"/>
      <c r="D212" s="85">
        <v>2</v>
      </c>
      <c r="E212" s="26"/>
      <c r="F212" s="85">
        <v>0</v>
      </c>
      <c r="G212" s="26"/>
      <c r="H212" s="85">
        <v>0</v>
      </c>
      <c r="I212" s="26"/>
      <c r="J212" s="85">
        <v>0</v>
      </c>
      <c r="K212" s="26"/>
      <c r="L212" s="85">
        <v>0</v>
      </c>
      <c r="M212" s="26"/>
      <c r="N212" s="85">
        <v>0</v>
      </c>
      <c r="O212" s="26"/>
      <c r="P212" s="85">
        <v>0</v>
      </c>
      <c r="Q212" s="26"/>
      <c r="R212" s="85">
        <v>0</v>
      </c>
      <c r="S212" s="26"/>
      <c r="T212" s="26">
        <f>SUM(D212:R212)</f>
        <v>2</v>
      </c>
      <c r="U212" s="52"/>
      <c r="V212" s="31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</row>
    <row r="213" spans="1:253" s="37" customFormat="1" ht="15">
      <c r="A213" s="33"/>
      <c r="B213" s="109" t="s">
        <v>127</v>
      </c>
      <c r="C213" s="44"/>
      <c r="D213" s="85">
        <v>1</v>
      </c>
      <c r="E213" s="26"/>
      <c r="F213" s="85">
        <v>0</v>
      </c>
      <c r="G213" s="26"/>
      <c r="H213" s="85">
        <v>0</v>
      </c>
      <c r="I213" s="26"/>
      <c r="J213" s="85">
        <v>0</v>
      </c>
      <c r="K213" s="26"/>
      <c r="L213" s="85">
        <v>0</v>
      </c>
      <c r="M213" s="26"/>
      <c r="N213" s="85">
        <v>0</v>
      </c>
      <c r="O213" s="26"/>
      <c r="P213" s="85">
        <v>0</v>
      </c>
      <c r="Q213" s="26"/>
      <c r="R213" s="85">
        <v>0</v>
      </c>
      <c r="S213" s="26"/>
      <c r="T213" s="26">
        <f>SUM(D213:R213)</f>
        <v>1</v>
      </c>
      <c r="U213" s="36"/>
      <c r="V213" s="31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</row>
    <row r="214" spans="1:253" s="37" customFormat="1" ht="15">
      <c r="A214" s="33"/>
      <c r="B214" s="109" t="s">
        <v>128</v>
      </c>
      <c r="C214" s="44"/>
      <c r="D214" s="85">
        <v>2</v>
      </c>
      <c r="E214" s="26"/>
      <c r="F214" s="85">
        <v>0</v>
      </c>
      <c r="G214" s="26"/>
      <c r="H214" s="85">
        <v>0</v>
      </c>
      <c r="I214" s="26"/>
      <c r="J214" s="85">
        <v>0</v>
      </c>
      <c r="K214" s="26"/>
      <c r="L214" s="85">
        <v>0</v>
      </c>
      <c r="M214" s="26"/>
      <c r="N214" s="85">
        <v>0</v>
      </c>
      <c r="O214" s="26"/>
      <c r="P214" s="85">
        <v>0</v>
      </c>
      <c r="Q214" s="26"/>
      <c r="R214" s="85">
        <v>0</v>
      </c>
      <c r="S214" s="26"/>
      <c r="T214" s="26">
        <f>SUM(D214:R214)</f>
        <v>2</v>
      </c>
      <c r="U214" s="36"/>
      <c r="V214" s="31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</row>
    <row r="215" spans="1:253" s="37" customFormat="1" ht="15">
      <c r="A215" s="33"/>
      <c r="B215" s="92" t="s">
        <v>24</v>
      </c>
      <c r="C215" s="44"/>
      <c r="D215" s="53">
        <f>SUM(D200:D214)</f>
        <v>506</v>
      </c>
      <c r="E215" s="100"/>
      <c r="F215" s="53">
        <f>SUM(F200:F214)</f>
        <v>28</v>
      </c>
      <c r="G215" s="100"/>
      <c r="H215" s="53">
        <f>SUM(H200:H214)</f>
        <v>13</v>
      </c>
      <c r="I215" s="100"/>
      <c r="J215" s="53">
        <f>SUM(J200:J214)</f>
        <v>0</v>
      </c>
      <c r="K215" s="100"/>
      <c r="L215" s="53">
        <f>SUM(L200:L214)</f>
        <v>0</v>
      </c>
      <c r="M215" s="100"/>
      <c r="N215" s="53">
        <f>SUM(N200:N214)</f>
        <v>19</v>
      </c>
      <c r="O215" s="100"/>
      <c r="P215" s="53">
        <f>SUM(P200:P214)</f>
        <v>10</v>
      </c>
      <c r="Q215" s="100"/>
      <c r="R215" s="53">
        <f>SUM(R200:R214)</f>
        <v>537</v>
      </c>
      <c r="S215" s="26"/>
      <c r="T215" s="53">
        <f>SUM(T200:T214)</f>
        <v>1113</v>
      </c>
      <c r="U215" s="54"/>
      <c r="V215" s="31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</row>
    <row r="216" spans="1:22" ht="15">
      <c r="A216" s="30"/>
      <c r="B216" s="19"/>
      <c r="C216" s="44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86" t="s">
        <v>4</v>
      </c>
      <c r="S216" s="22"/>
      <c r="T216" s="22">
        <f>T215-T217</f>
        <v>649</v>
      </c>
      <c r="U216" s="40"/>
      <c r="V216" s="14"/>
    </row>
    <row r="217" spans="1:22" ht="15">
      <c r="A217" s="30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86" t="s">
        <v>5</v>
      </c>
      <c r="S217" s="22"/>
      <c r="T217" s="22">
        <v>464</v>
      </c>
      <c r="U217" s="41"/>
      <c r="V217" s="14"/>
    </row>
    <row r="218" spans="1:22" ht="15.75" thickBot="1">
      <c r="A218" s="30"/>
      <c r="B218" s="14"/>
      <c r="C218" s="14"/>
      <c r="D218" s="69"/>
      <c r="E218" s="55"/>
      <c r="F218" s="69"/>
      <c r="G218" s="55"/>
      <c r="H218" s="69"/>
      <c r="I218" s="55"/>
      <c r="J218" s="69"/>
      <c r="K218" s="55"/>
      <c r="L218" s="69"/>
      <c r="M218" s="55"/>
      <c r="N218" s="69"/>
      <c r="O218" s="55"/>
      <c r="P218" s="69"/>
      <c r="Q218" s="55"/>
      <c r="R218" s="69"/>
      <c r="S218" s="55"/>
      <c r="T218" s="69"/>
      <c r="U218" s="32"/>
      <c r="V218" s="14"/>
    </row>
    <row r="219" spans="1:22" ht="15.75">
      <c r="A219" s="30"/>
      <c r="B219" s="93" t="s">
        <v>42</v>
      </c>
      <c r="C219" s="24"/>
      <c r="D219" s="70">
        <f>D215+D194+D179+D160+D148+D139+D126+D112+D96+D84+D62+D48+D35+D18</f>
        <v>6273</v>
      </c>
      <c r="E219" s="70"/>
      <c r="F219" s="70">
        <f>F215+F194+F179+F160+F148+F139+F126+F112+F96+F84+F62+F48+F35+F18</f>
        <v>145</v>
      </c>
      <c r="G219" s="70"/>
      <c r="H219" s="70">
        <f>H215+H194+H179+H160+H148+H139+H126+H112+H96+H84+H62+H48+H35+H18</f>
        <v>226</v>
      </c>
      <c r="I219" s="70"/>
      <c r="J219" s="70">
        <f>J215+J194+J179+J160+J148+J139+J126+J112+J96+J84+J62+J48+J35+J18</f>
        <v>10</v>
      </c>
      <c r="K219" s="70"/>
      <c r="L219" s="70">
        <f>L215+L194+L179+L160+L148+L139+L126+L112+L96+L84+L62+L48+L35+L18</f>
        <v>12</v>
      </c>
      <c r="M219" s="70"/>
      <c r="N219" s="70">
        <f>N215+N194+N179+N160+N148+N139+N126+N112+N96+N84+N62+N48+N35+N18</f>
        <v>1312</v>
      </c>
      <c r="O219" s="70"/>
      <c r="P219" s="70">
        <f>P215+P194+P179+P160+P148+P139+P126+P112+P96+P84+P62+P48+P35+P18</f>
        <v>77</v>
      </c>
      <c r="Q219" s="70"/>
      <c r="R219" s="70">
        <f>R215+R194+R179+R160+R148+R139+R126+R112+R96+R84+R62+R48+R35+R18</f>
        <v>3406</v>
      </c>
      <c r="S219" s="70"/>
      <c r="T219" s="70">
        <f>T215+T194+T179+T160+T148+T139+T126+T112+T96+T84+T62+T48+T35+T18</f>
        <v>11461</v>
      </c>
      <c r="U219" s="32"/>
      <c r="V219" s="14"/>
    </row>
    <row r="220" spans="1:22" ht="15.75">
      <c r="A220" s="30"/>
      <c r="B220" s="14"/>
      <c r="C220" s="14"/>
      <c r="D220" s="7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97" t="s">
        <v>4</v>
      </c>
      <c r="S220" s="27"/>
      <c r="T220" s="70">
        <f>T219-T221</f>
        <v>6341</v>
      </c>
      <c r="U220" s="32"/>
      <c r="V220" s="14"/>
    </row>
    <row r="221" spans="1:22" ht="16.5" thickBot="1">
      <c r="A221" s="49"/>
      <c r="B221" s="25"/>
      <c r="C221" s="25"/>
      <c r="D221" s="72"/>
      <c r="E221" s="72"/>
      <c r="F221" s="72"/>
      <c r="G221" s="73"/>
      <c r="H221" s="73"/>
      <c r="I221" s="74"/>
      <c r="J221" s="74"/>
      <c r="K221" s="74"/>
      <c r="L221" s="74"/>
      <c r="M221" s="74"/>
      <c r="N221" s="74"/>
      <c r="O221" s="74"/>
      <c r="P221" s="74"/>
      <c r="Q221" s="74"/>
      <c r="R221" s="98" t="s">
        <v>5</v>
      </c>
      <c r="S221" s="75"/>
      <c r="T221" s="76">
        <f>T217+T196+T181+T162+T150+T141+T128+T114+T98+T86+T64+T50+T37+T20</f>
        <v>5120</v>
      </c>
      <c r="U221" s="56"/>
      <c r="V221" s="14"/>
    </row>
    <row r="222" ht="13.5" thickTop="1">
      <c r="U222" s="14"/>
    </row>
    <row r="223" spans="2:21" ht="15" customHeight="1">
      <c r="B223" s="120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4"/>
    </row>
    <row r="224" spans="1:253" s="37" customFormat="1" ht="15" customHeight="1">
      <c r="A224" s="5"/>
      <c r="B224" s="120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</row>
    <row r="225" spans="1:253" s="37" customFormat="1" ht="15" customHeight="1">
      <c r="A225" s="5"/>
      <c r="B225" s="120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</row>
    <row r="226" spans="1:253" s="37" customFormat="1" ht="15">
      <c r="A226" s="5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</row>
    <row r="227" spans="1:253" s="37" customFormat="1" ht="15">
      <c r="A227" s="5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</row>
  </sheetData>
  <mergeCells count="14">
    <mergeCell ref="B227:T227"/>
    <mergeCell ref="A1:U1"/>
    <mergeCell ref="A2:U2"/>
    <mergeCell ref="B225:T225"/>
    <mergeCell ref="B224:T224"/>
    <mergeCell ref="B223:T223"/>
    <mergeCell ref="B226:T226"/>
    <mergeCell ref="B100:T100"/>
    <mergeCell ref="B169:T169"/>
    <mergeCell ref="B164:T164"/>
    <mergeCell ref="B167:T167"/>
    <mergeCell ref="B168:T168"/>
    <mergeCell ref="B101:T101"/>
    <mergeCell ref="B166:T166"/>
  </mergeCells>
  <printOptions horizontalCentered="1"/>
  <pageMargins left="0.3" right="0.3" top="0.5" bottom="0.25" header="0.25" footer="0.25"/>
  <pageSetup horizontalDpi="600" verticalDpi="600" orientation="portrait" scale="54" r:id="rId1"/>
  <rowBreaks count="3" manualBreakCount="3">
    <brk id="51" max="20" man="1"/>
    <brk id="103" max="20" man="1"/>
    <brk id="17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rhansen</dc:creator>
  <cp:keywords/>
  <dc:description/>
  <cp:lastModifiedBy>agarcia</cp:lastModifiedBy>
  <cp:lastPrinted>2005-09-14T16:37:58Z</cp:lastPrinted>
  <dcterms:created xsi:type="dcterms:W3CDTF">2001-12-05T16:29:39Z</dcterms:created>
  <dcterms:modified xsi:type="dcterms:W3CDTF">2005-09-14T16:38:00Z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